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64" activeTab="0"/>
  </bookViews>
  <sheets>
    <sheet name="DISPAR 2" sheetId="1" r:id="rId1"/>
    <sheet name="Sheet1" sheetId="2" r:id="rId2"/>
  </sheets>
  <definedNames>
    <definedName name="_xlnm.Print_Area" localSheetId="0">'DISPAR 2'!$A$1:$P$222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<sst xmlns="http://schemas.openxmlformats.org/spreadsheetml/2006/main" count="229" uniqueCount="225">
  <si>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</si>
  <si>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</si>
  <si>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</si>
  <si>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</si>
  <si>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</si>
  <si>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</si>
  <si>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</si>
  <si>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</si>
  <si>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</si>
  <si>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</si>
  <si>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</si>
  <si>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</si>
  <si>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</si>
  <si>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</si>
  <si>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</si>
  <si>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</si>
  <si>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</si>
  <si>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</si>
  <si>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</si>
  <si>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</si>
  <si>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</si>
  <si>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</si>
  <si>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</si>
  <si>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</si>
  <si>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</si>
  <si>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</si>
  <si>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</si>
  <si>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</si>
  <si>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</si>
  <si>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</si>
  <si>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</si>
  <si>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</si>
  <si>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</si>
  <si>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</si>
  <si>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</si>
  <si>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</si>
  <si>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</si>
  <si>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</si>
  <si>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</si>
  <si>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</si>
  <si>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</si>
  <si>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</si>
  <si>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</si>
  <si>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</si>
  <si>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</si>
  <si>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</si>
  <si>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</si>
  <si>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</si>
  <si>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</si>
  <si>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</si>
  <si>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</si>
  <si>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</si>
  <si>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</si>
  <si>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</si>
  <si>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</si>
  <si>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</si>
  <si>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</si>
  <si>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</si>
  <si>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</si>
  <si>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</si>
  <si>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</si>
  <si>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</si>
  <si>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</si>
  <si>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</si>
  <si>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</si>
  <si>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</si>
  <si>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</si>
  <si>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</si>
  <si>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</si>
  <si>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</si>
  <si>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</si>
  <si>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</si>
  <si>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</si>
  <si>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</si>
  <si>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</si>
  <si>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</si>
  <si>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</si>
  <si>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</si>
  <si>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</si>
  <si>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</si>
  <si>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</si>
  <si>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</si>
  <si>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</si>
  <si>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</si>
  <si>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</si>
  <si>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</si>
  <si>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</si>
  <si>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</si>
  <si>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</si>
  <si>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</si>
  <si>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</si>
  <si>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</si>
  <si>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</si>
  <si>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</si>
  <si>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</si>
  <si>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</si>
  <si>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</si>
  <si>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</si>
  <si>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</si>
  <si>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</si>
  <si>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</si>
  <si>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</si>
  <si>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</si>
  <si>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</si>
  <si>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</si>
  <si>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</si>
  <si>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</si>
  <si>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</si>
  <si>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</si>
  <si>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</si>
  <si>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</si>
  <si>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</si>
  <si>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</si>
  <si>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</si>
  <si>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</si>
  <si>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</si>
  <si>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</si>
  <si>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</si>
  <si>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</si>
  <si>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</si>
  <si>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</si>
  <si>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</si>
  <si>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</si>
  <si>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</si>
  <si>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</si>
  <si>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</si>
  <si>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</si>
  <si>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</si>
  <si>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</si>
  <si>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</si>
  <si>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</si>
  <si>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</si>
  <si>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</si>
  <si>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</si>
  <si>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</si>
  <si>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</si>
  <si>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</si>
  <si>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</si>
  <si>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</si>
  <si>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</si>
  <si>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</si>
  <si>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</si>
  <si>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</si>
  <si>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</si>
  <si>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</si>
  <si>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</si>
  <si>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</si>
  <si>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</si>
  <si>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</si>
  <si>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</si>
  <si>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</si>
  <si>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</si>
  <si>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</si>
  <si>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</si>
  <si>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</si>
  <si>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</si>
  <si>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</si>
  <si>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</si>
  <si>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</si>
  <si>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</si>
  <si>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</si>
  <si>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</si>
  <si>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</si>
  <si>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</si>
  <si>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</si>
  <si>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</si>
  <si>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</si>
  <si>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</si>
  <si>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</si>
  <si>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</si>
  <si>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</si>
  <si>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</si>
  <si>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</si>
  <si>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</si>
  <si>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</si>
  <si>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</si>
  <si>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</si>
  <si>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</si>
  <si>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</si>
  <si>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</si>
  <si>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</si>
  <si>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</si>
  <si>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</si>
  <si>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</si>
  <si>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</si>
  <si>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</si>
  <si>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</si>
  <si>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</si>
  <si>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</si>
  <si>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</si>
  <si>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</si>
  <si>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</si>
  <si>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</si>
  <si>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</si>
  <si>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</si>
  <si>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</si>
  <si>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</si>
  <si>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</si>
  <si>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</si>
  <si>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</si>
  <si>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</si>
  <si>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</si>
  <si>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</si>
  <si>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2018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</si>
  <si>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</si>
  <si>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</si>
  <si>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</si>
  <si>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</si>
  <si>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</si>
  <si>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</si>
  <si>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</si>
  <si>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</si>
  <si>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</si>
  <si>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</si>
  <si>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</si>
  <si>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</si>
  <si>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</si>
  <si>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</si>
  <si>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</si>
  <si>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</si>
  <si>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2019</t>
  </si>
  <si>
    <t>The number of direct arrival in January - Desember  2018 was 6.070.473</t>
  </si>
  <si>
    <t>January - December :</t>
  </si>
  <si>
    <t>The number of direct arrival in January - Desember  2019  is 6.275.210</t>
  </si>
  <si>
    <t>The number of foreign direct arrival in 2019 increase  3.37% compared to that of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</si>
</sst>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1" fontId="1" fillId="0" borderId="10" xfId="0" applyNumberFormat="1" applyFont="1" applyFill="1" applyBorder="1" applyAlignment="1" quotePrefix="1">
      <alignment horizontal="right"/>
    </xf>
    <xf numFmtId="41" fontId="1" fillId="0" borderId="10" xfId="0" applyNumberFormat="1" applyFont="1" applyFill="1" applyBorder="1" applyAlignment="1" quotePrefix="1">
      <alignment/>
    </xf>
    <xf numFmtId="41" fontId="1" fillId="0" borderId="15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 horizontal="right"/>
    </xf>
    <xf numFmtId="41" fontId="1" fillId="0" borderId="15" xfId="0" applyNumberFormat="1" applyFont="1" applyFill="1" applyBorder="1" applyAlignment="1" quotePrefix="1">
      <alignment horizontal="right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 quotePrefix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1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 applyBorder="1">
      <alignment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 vertic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43" fontId="3" fillId="0" borderId="0" xfId="0" applyNumberFormat="1" applyFont="1" applyFill="1" applyAlignment="1">
      <alignment/>
    </xf>
    <xf numFmtId="41" fontId="44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1" fillId="35" borderId="10" xfId="0" applyNumberFormat="1" applyFont="1" applyFill="1" applyBorder="1" applyAlignment="1">
      <alignment/>
    </xf>
    <xf numFmtId="41" fontId="1" fillId="35" borderId="10" xfId="0" applyNumberFormat="1" applyFont="1" applyFill="1" applyBorder="1" applyAlignment="1">
      <alignment horizontal="right"/>
    </xf>
    <xf numFmtId="41" fontId="1" fillId="35" borderId="10" xfId="0" applyNumberFormat="1" applyFont="1" applyFill="1" applyBorder="1" applyAlignment="1" quotePrefix="1">
      <alignment horizontal="right"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8" fillId="35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view="pageBreakPreview" zoomScale="110" zoomScaleNormal="90" zoomScaleSheetLayoutView="110" zoomScalePageLayoutView="0" workbookViewId="0" topLeftCell="A1">
      <pane xSplit="2" ySplit="5" topLeftCell="I20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10" sqref="M210"/>
    </sheetView>
  </sheetViews>
  <sheetFormatPr defaultColWidth="9.140625" defaultRowHeight="12.75"/>
  <cols>
    <col min="1" max="1" width="5.0039062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3.5">
      <c r="A1" s="146" t="s">
        <v>220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R1" s="2"/>
      <c r="V1" s="2"/>
      <c r="Z1" s="2"/>
    </row>
    <row r="2" spans="1:27" ht="13.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3.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3.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4.25" thickBot="1">
      <c r="A5" s="39"/>
      <c r="B5" s="40" t="s">
        <v>16</v>
      </c>
      <c r="C5" s="41">
        <f aca="true" t="shared" si="0" ref="C5:N5">SUM(C6:C33)</f>
        <v>293887</v>
      </c>
      <c r="D5" s="41">
        <f t="shared" si="0"/>
        <v>277688</v>
      </c>
      <c r="E5" s="41">
        <f t="shared" si="0"/>
        <v>252314</v>
      </c>
      <c r="F5" s="41">
        <f t="shared" si="0"/>
        <v>264959</v>
      </c>
      <c r="G5" s="41">
        <f>SUM(G6:G33)</f>
        <v>286025</v>
      </c>
      <c r="H5" s="41">
        <f>SUM(H6:H33)</f>
        <v>325175</v>
      </c>
      <c r="I5" s="41">
        <f t="shared" si="0"/>
        <v>346382</v>
      </c>
      <c r="J5" s="41">
        <f>SUM(J6:J33)</f>
        <v>341742</v>
      </c>
      <c r="K5" s="41">
        <f>SUM(K6:K33)</f>
        <v>332481</v>
      </c>
      <c r="L5" s="41">
        <f t="shared" si="0"/>
        <v>313346</v>
      </c>
      <c r="M5" s="41">
        <f t="shared" si="0"/>
        <v>280476</v>
      </c>
      <c r="N5" s="41">
        <f t="shared" si="0"/>
        <v>300007</v>
      </c>
      <c r="O5" s="41">
        <f>SUM(C5:N5)</f>
        <v>3614482</v>
      </c>
      <c r="P5" s="42">
        <f aca="true" t="shared" si="1" ref="P5:P36">O5/$O$196*100</f>
        <v>57.59937914428362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95536</v>
      </c>
      <c r="D6" s="44">
        <v>67474</v>
      </c>
      <c r="E6" s="44">
        <f>78946+1791+2230+20+11+4</f>
        <v>83002</v>
      </c>
      <c r="F6" s="45">
        <f>90269+2-6</f>
        <v>90265</v>
      </c>
      <c r="G6" s="44">
        <v>98625</v>
      </c>
      <c r="H6" s="44">
        <v>110815</v>
      </c>
      <c r="I6" s="44">
        <f>123306-13</f>
        <v>123293</v>
      </c>
      <c r="J6" s="44">
        <f>118556</f>
        <v>118556</v>
      </c>
      <c r="K6" s="44">
        <f>119493+14+4909</f>
        <v>124416</v>
      </c>
      <c r="L6" s="44">
        <f>107453+991+10938</f>
        <v>119382</v>
      </c>
      <c r="M6" s="44">
        <v>105312</v>
      </c>
      <c r="N6" s="44">
        <v>110711</v>
      </c>
      <c r="O6" s="46">
        <f>SUM(C6:N6)</f>
        <v>1247387</v>
      </c>
      <c r="P6" s="47">
        <f t="shared" si="1"/>
        <v>19.87801205059273</v>
      </c>
      <c r="Q6" s="7">
        <f>1134057-O6</f>
        <v>-113330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20">
        <v>60</v>
      </c>
      <c r="D7" s="20">
        <f>30</f>
        <v>30</v>
      </c>
      <c r="E7" s="20">
        <f>43+4</f>
        <v>47</v>
      </c>
      <c r="F7" s="21">
        <v>38</v>
      </c>
      <c r="G7" s="20">
        <v>31</v>
      </c>
      <c r="H7" s="20">
        <v>31</v>
      </c>
      <c r="I7" s="20">
        <v>46</v>
      </c>
      <c r="J7" s="20">
        <v>67</v>
      </c>
      <c r="K7" s="20">
        <v>43</v>
      </c>
      <c r="L7" s="20">
        <v>32</v>
      </c>
      <c r="M7" s="20">
        <v>56</v>
      </c>
      <c r="N7" s="20">
        <f>58+2</f>
        <v>60</v>
      </c>
      <c r="O7" s="22">
        <f aca="true" t="shared" si="2" ref="O7:O68">SUM(C7:N7)</f>
        <v>541</v>
      </c>
      <c r="P7" s="23">
        <f t="shared" si="1"/>
        <v>0.008621225425125216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20">
        <v>2262</v>
      </c>
      <c r="D8" s="20">
        <f>2094</f>
        <v>2094</v>
      </c>
      <c r="E8" s="20">
        <v>2489</v>
      </c>
      <c r="F8" s="21">
        <v>2264</v>
      </c>
      <c r="G8" s="20">
        <v>1938</v>
      </c>
      <c r="H8" s="20">
        <v>4265</v>
      </c>
      <c r="I8" s="20">
        <v>2656</v>
      </c>
      <c r="J8" s="20">
        <v>2307</v>
      </c>
      <c r="K8" s="20">
        <v>2035</v>
      </c>
      <c r="L8" s="20">
        <v>2371</v>
      </c>
      <c r="M8" s="20">
        <v>2164</v>
      </c>
      <c r="N8" s="20">
        <v>2671</v>
      </c>
      <c r="O8" s="22">
        <f t="shared" si="2"/>
        <v>29516</v>
      </c>
      <c r="P8" s="23">
        <f t="shared" si="1"/>
        <v>0.47035876090202555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20">
        <f>90+1</f>
        <v>91</v>
      </c>
      <c r="D9" s="20">
        <v>73</v>
      </c>
      <c r="E9" s="20">
        <f>67+5</f>
        <v>72</v>
      </c>
      <c r="F9" s="21">
        <v>77</v>
      </c>
      <c r="G9" s="48">
        <v>42</v>
      </c>
      <c r="H9" s="20">
        <v>62</v>
      </c>
      <c r="I9" s="20">
        <v>2656</v>
      </c>
      <c r="J9" s="20">
        <v>80</v>
      </c>
      <c r="K9" s="20">
        <v>68</v>
      </c>
      <c r="L9" s="20">
        <v>78</v>
      </c>
      <c r="M9" s="20">
        <v>89</v>
      </c>
      <c r="N9" s="20">
        <f>182+4+3</f>
        <v>189</v>
      </c>
      <c r="O9" s="22">
        <f t="shared" si="2"/>
        <v>3577</v>
      </c>
      <c r="P9" s="23">
        <f t="shared" si="1"/>
        <v>0.057002076424534004</v>
      </c>
      <c r="R9" s="4"/>
      <c r="S9" s="4"/>
      <c r="T9" s="4"/>
      <c r="U9" s="4"/>
      <c r="V9" s="11"/>
    </row>
    <row r="10" spans="1:21" ht="12.75" customHeight="1">
      <c r="A10" s="43">
        <v>5</v>
      </c>
      <c r="B10" s="62" t="s">
        <v>17</v>
      </c>
      <c r="C10" s="20">
        <f>1309+3+1</f>
        <v>1313</v>
      </c>
      <c r="D10" s="20">
        <v>1367</v>
      </c>
      <c r="E10" s="20">
        <f>758+6</f>
        <v>764</v>
      </c>
      <c r="F10" s="21">
        <v>6</v>
      </c>
      <c r="G10" s="48">
        <v>1</v>
      </c>
      <c r="H10" s="20">
        <v>5</v>
      </c>
      <c r="I10" s="20">
        <v>2</v>
      </c>
      <c r="J10" s="20">
        <v>1</v>
      </c>
      <c r="K10" s="20">
        <v>0</v>
      </c>
      <c r="L10" s="20">
        <f>0+11</f>
        <v>11</v>
      </c>
      <c r="M10" s="20">
        <v>0</v>
      </c>
      <c r="N10" s="20">
        <f>18+27</f>
        <v>45</v>
      </c>
      <c r="O10" s="22">
        <f t="shared" si="2"/>
        <v>3515</v>
      </c>
      <c r="P10" s="23">
        <f t="shared" si="1"/>
        <v>0.05601406168080431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20">
        <v>28755</v>
      </c>
      <c r="D11" s="20">
        <v>28809</v>
      </c>
      <c r="E11" s="20">
        <f>26336+7+523+44-570</f>
        <v>26340</v>
      </c>
      <c r="F11" s="21">
        <f>25452+2-16</f>
        <v>25438</v>
      </c>
      <c r="G11" s="48">
        <f>38629</f>
        <v>38629</v>
      </c>
      <c r="H11" s="20">
        <v>39922</v>
      </c>
      <c r="I11" s="20">
        <f>30990-1262</f>
        <v>29728</v>
      </c>
      <c r="J11" s="20">
        <f>23552</f>
        <v>23552</v>
      </c>
      <c r="K11" s="20">
        <f>27149+1+346</f>
        <v>27496</v>
      </c>
      <c r="L11" s="20">
        <f>28275+149+805</f>
        <v>29229</v>
      </c>
      <c r="M11" s="20">
        <f>34279+93</f>
        <v>34372</v>
      </c>
      <c r="N11" s="20">
        <v>39759</v>
      </c>
      <c r="O11" s="22">
        <f>SUM(C11:N11)</f>
        <v>372029</v>
      </c>
      <c r="P11" s="23">
        <f t="shared" si="1"/>
        <v>5.9285505983066695</v>
      </c>
      <c r="Q11" s="7">
        <f>334622-O11</f>
        <v>-37407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20">
        <v>16245</v>
      </c>
      <c r="D12" s="20">
        <v>20665</v>
      </c>
      <c r="E12" s="20">
        <f>21327+15+40-45</f>
        <v>21337</v>
      </c>
      <c r="F12" s="21">
        <f>19835+69-26</f>
        <v>19878</v>
      </c>
      <c r="G12" s="20">
        <f>15774</f>
        <v>15774</v>
      </c>
      <c r="H12" s="20">
        <v>18697</v>
      </c>
      <c r="I12" s="20">
        <f>20471-4</f>
        <v>20467</v>
      </c>
      <c r="J12" s="20">
        <f>33474</f>
        <v>33474</v>
      </c>
      <c r="K12" s="20">
        <f>29187+67+113</f>
        <v>29367</v>
      </c>
      <c r="L12" s="20">
        <f>22802+33+576</f>
        <v>23411</v>
      </c>
      <c r="M12" s="20">
        <f>17851-129</f>
        <v>17722</v>
      </c>
      <c r="N12" s="20">
        <v>20183</v>
      </c>
      <c r="O12" s="22">
        <f t="shared" si="2"/>
        <v>257220</v>
      </c>
      <c r="P12" s="23">
        <f t="shared" si="1"/>
        <v>4.098986328744377</v>
      </c>
      <c r="Q12" s="7">
        <f>237552-O12</f>
        <v>-19668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21">
        <v>1</v>
      </c>
      <c r="D13" s="21">
        <v>0</v>
      </c>
      <c r="E13" s="21" t="s">
        <v>41</v>
      </c>
      <c r="F13" s="21"/>
      <c r="G13" s="21">
        <v>1</v>
      </c>
      <c r="H13" s="21">
        <v>4</v>
      </c>
      <c r="I13" s="21">
        <v>0</v>
      </c>
      <c r="J13" s="21">
        <v>2</v>
      </c>
      <c r="K13" s="21">
        <v>2</v>
      </c>
      <c r="L13" s="21">
        <v>0</v>
      </c>
      <c r="M13" s="21">
        <v>2</v>
      </c>
      <c r="N13" s="48">
        <v>3</v>
      </c>
      <c r="O13" s="22">
        <f t="shared" si="2"/>
        <v>15</v>
      </c>
      <c r="P13" s="23">
        <f t="shared" si="1"/>
        <v>0.00023903582509589318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204</v>
      </c>
      <c r="C14" s="20">
        <v>14727</v>
      </c>
      <c r="D14" s="20">
        <v>14788</v>
      </c>
      <c r="E14" s="20">
        <f>10790+5-3</f>
        <v>10792</v>
      </c>
      <c r="F14" s="21">
        <f>12370+1-37</f>
        <v>12334</v>
      </c>
      <c r="G14" s="20">
        <f>14029</f>
        <v>14029</v>
      </c>
      <c r="H14" s="20">
        <f>18754-17</f>
        <v>18737</v>
      </c>
      <c r="I14" s="20">
        <f>23269-6</f>
        <v>23263</v>
      </c>
      <c r="J14" s="20">
        <f>23352</f>
        <v>23352</v>
      </c>
      <c r="K14" s="20">
        <f>19298+144</f>
        <v>19442</v>
      </c>
      <c r="L14" s="20">
        <f>20715+1+591</f>
        <v>21307</v>
      </c>
      <c r="M14" s="20">
        <f>18594+34</f>
        <v>18628</v>
      </c>
      <c r="N14" s="20">
        <v>21447</v>
      </c>
      <c r="O14" s="22">
        <f t="shared" si="2"/>
        <v>212846</v>
      </c>
      <c r="P14" s="23">
        <f t="shared" si="1"/>
        <v>3.3918546152240325</v>
      </c>
      <c r="Q14" s="7">
        <f>192061-O14</f>
        <v>-20785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20">
        <v>121</v>
      </c>
      <c r="D15" s="20">
        <v>87</v>
      </c>
      <c r="E15" s="20">
        <v>128</v>
      </c>
      <c r="F15" s="21">
        <v>141</v>
      </c>
      <c r="G15" s="20">
        <v>27</v>
      </c>
      <c r="H15" s="20">
        <v>177</v>
      </c>
      <c r="I15" s="20">
        <v>158</v>
      </c>
      <c r="J15" s="20">
        <v>116</v>
      </c>
      <c r="K15" s="20">
        <v>137</v>
      </c>
      <c r="L15" s="20">
        <v>111</v>
      </c>
      <c r="M15" s="20">
        <v>135</v>
      </c>
      <c r="N15" s="20">
        <v>255</v>
      </c>
      <c r="O15" s="22">
        <f t="shared" si="2"/>
        <v>1593</v>
      </c>
      <c r="P15" s="23">
        <f t="shared" si="1"/>
        <v>0.02538560462518386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20">
        <v>753</v>
      </c>
      <c r="D16" s="20">
        <v>501</v>
      </c>
      <c r="E16" s="20">
        <v>170</v>
      </c>
      <c r="F16" s="21">
        <v>196</v>
      </c>
      <c r="G16" s="20">
        <v>119</v>
      </c>
      <c r="H16" s="20">
        <v>166</v>
      </c>
      <c r="I16" s="20">
        <v>145</v>
      </c>
      <c r="J16" s="20">
        <v>163</v>
      </c>
      <c r="K16" s="20">
        <v>136</v>
      </c>
      <c r="L16" s="20">
        <v>165</v>
      </c>
      <c r="M16" s="20">
        <v>249</v>
      </c>
      <c r="N16" s="20">
        <f>666+1</f>
        <v>667</v>
      </c>
      <c r="O16" s="22">
        <f t="shared" si="2"/>
        <v>3430</v>
      </c>
      <c r="P16" s="23">
        <f t="shared" si="1"/>
        <v>0.05465952533859424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20">
        <v>5</v>
      </c>
      <c r="D17" s="20">
        <v>5</v>
      </c>
      <c r="E17" s="20">
        <v>10</v>
      </c>
      <c r="F17" s="21">
        <v>2</v>
      </c>
      <c r="G17" s="20">
        <v>1</v>
      </c>
      <c r="H17" s="20">
        <v>3</v>
      </c>
      <c r="I17" s="20">
        <v>0</v>
      </c>
      <c r="J17" s="20">
        <v>1</v>
      </c>
      <c r="K17" s="20">
        <v>2</v>
      </c>
      <c r="L17" s="20">
        <v>1</v>
      </c>
      <c r="M17" s="20">
        <v>1</v>
      </c>
      <c r="N17" s="20">
        <v>0</v>
      </c>
      <c r="O17" s="22">
        <f t="shared" si="2"/>
        <v>31</v>
      </c>
      <c r="P17" s="23">
        <f t="shared" si="1"/>
        <v>0.000494007371864846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20">
        <f>125+2</f>
        <v>127</v>
      </c>
      <c r="D18" s="49">
        <v>78</v>
      </c>
      <c r="E18" s="21">
        <f>82+5</f>
        <v>87</v>
      </c>
      <c r="F18" s="21">
        <v>74</v>
      </c>
      <c r="G18" s="20">
        <v>83</v>
      </c>
      <c r="H18" s="20">
        <v>63</v>
      </c>
      <c r="I18" s="20">
        <v>59</v>
      </c>
      <c r="J18" s="20">
        <v>60</v>
      </c>
      <c r="K18" s="20">
        <v>56</v>
      </c>
      <c r="L18" s="20">
        <f>72+1</f>
        <v>73</v>
      </c>
      <c r="M18" s="20">
        <v>120</v>
      </c>
      <c r="N18" s="20">
        <f>105+1+7+2</f>
        <v>115</v>
      </c>
      <c r="O18" s="22">
        <f t="shared" si="2"/>
        <v>995</v>
      </c>
      <c r="P18" s="23">
        <f t="shared" si="1"/>
        <v>0.01585604306469425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20">
        <f>1211+4+1</f>
        <v>1216</v>
      </c>
      <c r="D19" s="20">
        <v>827</v>
      </c>
      <c r="E19" s="21">
        <f>1155+5</f>
        <v>1160</v>
      </c>
      <c r="F19" s="21">
        <f>859+2</f>
        <v>861</v>
      </c>
      <c r="G19" s="20">
        <v>879</v>
      </c>
      <c r="H19" s="20">
        <v>901</v>
      </c>
      <c r="I19" s="20">
        <v>1246</v>
      </c>
      <c r="J19" s="20">
        <v>1478</v>
      </c>
      <c r="K19" s="20">
        <v>1109</v>
      </c>
      <c r="L19" s="20">
        <f>2187+1</f>
        <v>2188</v>
      </c>
      <c r="M19" s="20">
        <v>1315</v>
      </c>
      <c r="N19" s="20">
        <f>1231+1</f>
        <v>1232</v>
      </c>
      <c r="O19" s="22">
        <f t="shared" si="2"/>
        <v>14412</v>
      </c>
      <c r="P19" s="23">
        <f t="shared" si="1"/>
        <v>0.2296656207521342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20">
        <v>0</v>
      </c>
      <c r="D20" s="20">
        <v>0</v>
      </c>
      <c r="E20" s="20">
        <v>0</v>
      </c>
      <c r="F20" s="21">
        <v>0</v>
      </c>
      <c r="G20" s="20">
        <v>1</v>
      </c>
      <c r="H20" s="20">
        <v>1</v>
      </c>
      <c r="I20" s="20">
        <v>0</v>
      </c>
      <c r="J20" s="20">
        <v>2</v>
      </c>
      <c r="K20" s="20">
        <v>0</v>
      </c>
      <c r="L20" s="20">
        <v>0</v>
      </c>
      <c r="M20" s="20">
        <v>1</v>
      </c>
      <c r="N20" s="48">
        <v>1</v>
      </c>
      <c r="O20" s="22">
        <f t="shared" si="2"/>
        <v>6</v>
      </c>
      <c r="P20" s="23">
        <f t="shared" si="1"/>
        <v>9.561433003835728E-05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20">
        <v>424</v>
      </c>
      <c r="D21" s="20">
        <v>274</v>
      </c>
      <c r="E21" s="21">
        <v>352</v>
      </c>
      <c r="F21" s="21">
        <v>404</v>
      </c>
      <c r="G21" s="20">
        <v>170</v>
      </c>
      <c r="H21" s="20">
        <v>626</v>
      </c>
      <c r="I21" s="20">
        <v>576</v>
      </c>
      <c r="J21" s="20">
        <v>416</v>
      </c>
      <c r="K21" s="20">
        <v>378</v>
      </c>
      <c r="L21" s="20">
        <v>448</v>
      </c>
      <c r="M21" s="20">
        <v>688</v>
      </c>
      <c r="N21" s="20">
        <v>551</v>
      </c>
      <c r="O21" s="22">
        <f t="shared" si="2"/>
        <v>5307</v>
      </c>
      <c r="P21" s="23">
        <f t="shared" si="1"/>
        <v>0.08457087491892701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20">
        <v>113776</v>
      </c>
      <c r="D22" s="20">
        <v>122643</v>
      </c>
      <c r="E22" s="20">
        <f>89208+1+3+6+37-77</f>
        <v>89178</v>
      </c>
      <c r="F22" s="21">
        <f>94231-29</f>
        <v>94202</v>
      </c>
      <c r="G22" s="20">
        <f>93460</f>
        <v>93460</v>
      </c>
      <c r="H22" s="20">
        <v>103951</v>
      </c>
      <c r="I22" s="20">
        <f>110958+1082-54</f>
        <v>111986</v>
      </c>
      <c r="J22" s="20">
        <f>109028</f>
        <v>109028</v>
      </c>
      <c r="K22" s="20">
        <f>98189+279</f>
        <v>98468</v>
      </c>
      <c r="L22" s="20">
        <f>82473+63+5283</f>
        <v>87819</v>
      </c>
      <c r="M22" s="20">
        <v>78508</v>
      </c>
      <c r="N22" s="20">
        <v>80972</v>
      </c>
      <c r="O22" s="22">
        <f t="shared" si="2"/>
        <v>1183991</v>
      </c>
      <c r="P22" s="23">
        <f t="shared" si="1"/>
        <v>18.867751039407445</v>
      </c>
      <c r="Q22" s="7">
        <f>1104824-O22</f>
        <v>-79167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20">
        <v>2</v>
      </c>
      <c r="D23" s="20">
        <v>1</v>
      </c>
      <c r="E23" s="20">
        <f>1+1</f>
        <v>2</v>
      </c>
      <c r="F23" s="21">
        <v>1</v>
      </c>
      <c r="G23" s="20">
        <v>2</v>
      </c>
      <c r="H23" s="20">
        <v>0</v>
      </c>
      <c r="I23" s="20">
        <v>0</v>
      </c>
      <c r="J23" s="21">
        <v>1</v>
      </c>
      <c r="K23" s="20">
        <v>9</v>
      </c>
      <c r="L23" s="20">
        <v>1</v>
      </c>
      <c r="M23" s="20">
        <v>1</v>
      </c>
      <c r="N23" s="48">
        <v>0</v>
      </c>
      <c r="O23" s="22">
        <f t="shared" si="2"/>
        <v>20</v>
      </c>
      <c r="P23" s="23">
        <f t="shared" si="1"/>
        <v>0.00031871443346119093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20">
        <v>22</v>
      </c>
      <c r="D24" s="20">
        <v>14</v>
      </c>
      <c r="E24" s="20">
        <v>27</v>
      </c>
      <c r="F24" s="21">
        <v>26</v>
      </c>
      <c r="G24" s="20">
        <v>23</v>
      </c>
      <c r="H24" s="20">
        <v>22</v>
      </c>
      <c r="I24" s="20">
        <v>33</v>
      </c>
      <c r="J24" s="20">
        <v>29</v>
      </c>
      <c r="K24" s="20">
        <v>30</v>
      </c>
      <c r="L24" s="20">
        <f>46+1</f>
        <v>47</v>
      </c>
      <c r="M24" s="20">
        <v>23</v>
      </c>
      <c r="N24" s="20">
        <v>27</v>
      </c>
      <c r="O24" s="22">
        <f t="shared" si="2"/>
        <v>323</v>
      </c>
      <c r="P24" s="23">
        <f t="shared" si="1"/>
        <v>0.005147238100398233</v>
      </c>
      <c r="Q24" s="7"/>
      <c r="R24" s="4"/>
      <c r="S24" s="4"/>
      <c r="T24" s="4"/>
      <c r="U24" s="7"/>
    </row>
    <row r="25" spans="1:21" s="139" customFormat="1" ht="12.75" customHeight="1">
      <c r="A25" s="132">
        <v>20</v>
      </c>
      <c r="B25" s="133" t="s">
        <v>196</v>
      </c>
      <c r="C25" s="134">
        <v>10</v>
      </c>
      <c r="D25" s="134">
        <v>5</v>
      </c>
      <c r="E25" s="134">
        <v>5</v>
      </c>
      <c r="F25" s="135">
        <v>2</v>
      </c>
      <c r="G25" s="134">
        <v>4</v>
      </c>
      <c r="H25" s="134">
        <v>9</v>
      </c>
      <c r="I25" s="134">
        <v>3</v>
      </c>
      <c r="J25" s="134">
        <v>7</v>
      </c>
      <c r="K25" s="134">
        <v>7</v>
      </c>
      <c r="L25" s="134">
        <v>8</v>
      </c>
      <c r="M25" s="134">
        <v>12</v>
      </c>
      <c r="N25" s="136">
        <v>8</v>
      </c>
      <c r="O25" s="137">
        <f t="shared" si="2"/>
        <v>80</v>
      </c>
      <c r="P25" s="138">
        <f t="shared" si="1"/>
        <v>0.0012748577338447637</v>
      </c>
      <c r="R25" s="140"/>
      <c r="S25" s="140"/>
      <c r="T25" s="140"/>
      <c r="U25" s="141"/>
    </row>
    <row r="26" spans="1:21" ht="12.75" customHeight="1">
      <c r="A26" s="43">
        <v>21</v>
      </c>
      <c r="B26" s="19" t="s">
        <v>22</v>
      </c>
      <c r="C26" s="20">
        <v>6548</v>
      </c>
      <c r="D26" s="20">
        <v>5191</v>
      </c>
      <c r="E26" s="21">
        <f>6421+224</f>
        <v>6645</v>
      </c>
      <c r="F26" s="21">
        <f>8092-3</f>
        <v>8089</v>
      </c>
      <c r="G26" s="20">
        <f>10044+2</f>
        <v>10046</v>
      </c>
      <c r="H26" s="20">
        <f>13385+29</f>
        <v>13414</v>
      </c>
      <c r="I26" s="20">
        <f>18275-2</f>
        <v>18273</v>
      </c>
      <c r="J26" s="20">
        <f>16458</f>
        <v>16458</v>
      </c>
      <c r="K26" s="20">
        <f>15332+9+197</f>
        <v>15538</v>
      </c>
      <c r="L26" s="20">
        <f>13150+158+443</f>
        <v>13751</v>
      </c>
      <c r="M26" s="20">
        <f>8950+182</f>
        <v>9132</v>
      </c>
      <c r="N26" s="20">
        <v>9199</v>
      </c>
      <c r="O26" s="22">
        <f t="shared" si="2"/>
        <v>132284</v>
      </c>
      <c r="P26" s="23">
        <f t="shared" si="1"/>
        <v>2.1080410057990093</v>
      </c>
      <c r="Q26" s="7">
        <f>123096-O26</f>
        <v>-9188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205</v>
      </c>
      <c r="C27" s="20">
        <v>3</v>
      </c>
      <c r="D27" s="20">
        <v>11</v>
      </c>
      <c r="E27" s="20">
        <v>2</v>
      </c>
      <c r="F27" s="21"/>
      <c r="G27" s="20">
        <v>5</v>
      </c>
      <c r="H27" s="20">
        <v>3</v>
      </c>
      <c r="I27" s="20">
        <v>1</v>
      </c>
      <c r="J27" s="20">
        <v>2</v>
      </c>
      <c r="K27" s="20">
        <v>14</v>
      </c>
      <c r="L27" s="20">
        <v>2</v>
      </c>
      <c r="M27" s="20">
        <v>4</v>
      </c>
      <c r="N27" s="20">
        <v>7</v>
      </c>
      <c r="O27" s="22">
        <f t="shared" si="2"/>
        <v>54</v>
      </c>
      <c r="P27" s="23">
        <f t="shared" si="1"/>
        <v>0.0008605289703452156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20">
        <f>609+5</f>
        <v>614</v>
      </c>
      <c r="D28" s="20">
        <f>676+8</f>
        <v>684</v>
      </c>
      <c r="E28" s="20">
        <f>574+74</f>
        <v>648</v>
      </c>
      <c r="F28" s="21">
        <v>1139</v>
      </c>
      <c r="G28" s="20">
        <v>670</v>
      </c>
      <c r="H28" s="20">
        <v>589</v>
      </c>
      <c r="I28" s="20">
        <v>656</v>
      </c>
      <c r="J28" s="20">
        <v>835</v>
      </c>
      <c r="K28" s="20">
        <v>925</v>
      </c>
      <c r="L28" s="20">
        <f>1100+3</f>
        <v>1103</v>
      </c>
      <c r="M28" s="20">
        <v>1040</v>
      </c>
      <c r="N28" s="20">
        <f>1109+2+5</f>
        <v>1116</v>
      </c>
      <c r="O28" s="22">
        <f t="shared" si="2"/>
        <v>10019</v>
      </c>
      <c r="P28" s="23">
        <f t="shared" si="1"/>
        <v>0.1596599954423836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20">
        <v>0</v>
      </c>
      <c r="D29" s="20">
        <v>0</v>
      </c>
      <c r="E29" s="20">
        <v>0</v>
      </c>
      <c r="F29" s="21">
        <v>0</v>
      </c>
      <c r="G29" s="20">
        <v>0</v>
      </c>
      <c r="H29" s="20">
        <v>0</v>
      </c>
      <c r="I29" s="21"/>
      <c r="J29" s="21">
        <v>0</v>
      </c>
      <c r="K29" s="20"/>
      <c r="L29" s="20">
        <v>0</v>
      </c>
      <c r="M29" s="20">
        <v>0</v>
      </c>
      <c r="N29" s="48">
        <v>0</v>
      </c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20">
        <v>6</v>
      </c>
      <c r="D30" s="20">
        <v>11</v>
      </c>
      <c r="E30" s="20">
        <v>7</v>
      </c>
      <c r="F30" s="21">
        <v>8</v>
      </c>
      <c r="G30" s="20">
        <v>8</v>
      </c>
      <c r="H30" s="20">
        <v>4</v>
      </c>
      <c r="I30" s="20">
        <v>9</v>
      </c>
      <c r="J30" s="20">
        <v>6</v>
      </c>
      <c r="K30" s="20">
        <v>14</v>
      </c>
      <c r="L30" s="20">
        <v>17</v>
      </c>
      <c r="M30" s="20">
        <v>10</v>
      </c>
      <c r="N30" s="48">
        <v>2</v>
      </c>
      <c r="O30" s="22">
        <f t="shared" si="2"/>
        <v>102</v>
      </c>
      <c r="P30" s="23">
        <f t="shared" si="1"/>
        <v>0.001625443610652074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20">
        <v>9200</v>
      </c>
      <c r="D31" s="20">
        <v>10562</v>
      </c>
      <c r="E31" s="20">
        <v>7195</v>
      </c>
      <c r="F31" s="21">
        <f>7577+1</f>
        <v>7578</v>
      </c>
      <c r="G31" s="20">
        <f>9475+11</f>
        <v>9486</v>
      </c>
      <c r="H31" s="20">
        <f>9948</f>
        <v>9948</v>
      </c>
      <c r="I31" s="20">
        <f>8617+32-11</f>
        <v>8638</v>
      </c>
      <c r="J31" s="20">
        <f>8744+134</f>
        <v>8878</v>
      </c>
      <c r="K31" s="20">
        <f>9686+60</f>
        <v>9746</v>
      </c>
      <c r="L31" s="20">
        <f>9798+3+28</f>
        <v>9829</v>
      </c>
      <c r="M31" s="20">
        <f>8524+66</f>
        <v>8590</v>
      </c>
      <c r="N31" s="20">
        <v>7716</v>
      </c>
      <c r="O31" s="22">
        <f t="shared" si="2"/>
        <v>107366</v>
      </c>
      <c r="P31" s="23">
        <f t="shared" si="1"/>
        <v>1.7109546931497113</v>
      </c>
      <c r="Q31" s="7">
        <f>99650-O31</f>
        <v>-7716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20">
        <v>2063</v>
      </c>
      <c r="D32" s="20">
        <v>1485</v>
      </c>
      <c r="E32" s="20">
        <v>1801</v>
      </c>
      <c r="F32" s="21">
        <v>1931</v>
      </c>
      <c r="G32" s="20">
        <v>1963</v>
      </c>
      <c r="H32" s="20">
        <v>2756</v>
      </c>
      <c r="I32" s="20">
        <v>2476</v>
      </c>
      <c r="J32" s="20">
        <v>2866</v>
      </c>
      <c r="K32" s="20">
        <v>3040</v>
      </c>
      <c r="L32" s="20">
        <v>1957</v>
      </c>
      <c r="M32" s="20">
        <v>2293</v>
      </c>
      <c r="N32" s="20">
        <v>3067</v>
      </c>
      <c r="O32" s="22">
        <f t="shared" si="2"/>
        <v>27698</v>
      </c>
      <c r="P32" s="23">
        <f t="shared" si="1"/>
        <v>0.44138761890040334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63" t="s">
        <v>71</v>
      </c>
      <c r="C33" s="50">
        <v>7</v>
      </c>
      <c r="D33" s="50">
        <v>9</v>
      </c>
      <c r="E33" s="50">
        <f>7+29+18</f>
        <v>54</v>
      </c>
      <c r="F33" s="51">
        <v>5</v>
      </c>
      <c r="G33" s="50">
        <v>8</v>
      </c>
      <c r="H33" s="50">
        <v>4</v>
      </c>
      <c r="I33" s="50">
        <v>12</v>
      </c>
      <c r="J33" s="50">
        <v>5</v>
      </c>
      <c r="K33" s="50">
        <v>3</v>
      </c>
      <c r="L33" s="50">
        <v>5</v>
      </c>
      <c r="M33" s="50">
        <v>9</v>
      </c>
      <c r="N33" s="52">
        <v>4</v>
      </c>
      <c r="O33" s="41">
        <f t="shared" si="2"/>
        <v>125</v>
      </c>
      <c r="P33" s="53">
        <f t="shared" si="1"/>
        <v>0.001991965209132443</v>
      </c>
      <c r="Q33" s="7"/>
      <c r="R33" s="4"/>
      <c r="S33" s="4"/>
      <c r="T33" s="4"/>
      <c r="U33" s="7"/>
    </row>
    <row r="34" spans="1:21" ht="15" thickBot="1" thickTop="1">
      <c r="A34" s="39" t="s">
        <v>25</v>
      </c>
      <c r="B34" s="40" t="s">
        <v>26</v>
      </c>
      <c r="C34" s="41">
        <f aca="true" t="shared" si="3" ref="C34:H34">SUM(C35:C43)</f>
        <v>32024</v>
      </c>
      <c r="D34" s="41">
        <f t="shared" si="3"/>
        <v>38580</v>
      </c>
      <c r="E34" s="41">
        <f t="shared" si="3"/>
        <v>45706</v>
      </c>
      <c r="F34" s="41">
        <f t="shared" si="3"/>
        <v>44628</v>
      </c>
      <c r="G34" s="41">
        <f t="shared" si="3"/>
        <v>49207</v>
      </c>
      <c r="H34" s="41">
        <f t="shared" si="3"/>
        <v>53554</v>
      </c>
      <c r="I34" s="41">
        <f aca="true" t="shared" si="4" ref="I34:N34">SUM(I35:I43)</f>
        <v>46108</v>
      </c>
      <c r="J34" s="41">
        <f t="shared" si="4"/>
        <v>45644</v>
      </c>
      <c r="K34" s="41">
        <f t="shared" si="4"/>
        <v>49614</v>
      </c>
      <c r="L34" s="41">
        <f t="shared" si="4"/>
        <v>52239</v>
      </c>
      <c r="M34" s="41">
        <f t="shared" si="4"/>
        <v>53405</v>
      </c>
      <c r="N34" s="41">
        <f t="shared" si="4"/>
        <v>68918</v>
      </c>
      <c r="O34" s="41">
        <f t="shared" si="2"/>
        <v>579627</v>
      </c>
      <c r="P34" s="42">
        <f t="shared" si="1"/>
        <v>9.236774546190487</v>
      </c>
      <c r="R34" s="4"/>
      <c r="S34" s="4"/>
      <c r="T34" s="4"/>
      <c r="U34" s="7"/>
    </row>
    <row r="35" spans="1:21" ht="13.5" customHeight="1" thickTop="1">
      <c r="A35" s="43">
        <v>1</v>
      </c>
      <c r="B35" s="62" t="s">
        <v>140</v>
      </c>
      <c r="C35" s="44">
        <v>337</v>
      </c>
      <c r="D35" s="44">
        <v>265</v>
      </c>
      <c r="E35" s="44">
        <v>276</v>
      </c>
      <c r="F35" s="45">
        <v>209</v>
      </c>
      <c r="G35" s="44">
        <v>272</v>
      </c>
      <c r="H35" s="44">
        <v>195</v>
      </c>
      <c r="I35" s="44">
        <v>299</v>
      </c>
      <c r="J35" s="44">
        <v>326</v>
      </c>
      <c r="K35" s="44">
        <v>311</v>
      </c>
      <c r="L35" s="44">
        <v>403</v>
      </c>
      <c r="M35" s="44">
        <v>250</v>
      </c>
      <c r="N35" s="44">
        <v>531</v>
      </c>
      <c r="O35" s="46">
        <f t="shared" si="2"/>
        <v>3674</v>
      </c>
      <c r="P35" s="47">
        <f t="shared" si="1"/>
        <v>0.058547841426820776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20">
        <v>418</v>
      </c>
      <c r="D36" s="20">
        <v>614</v>
      </c>
      <c r="E36" s="20">
        <f>500</f>
        <v>500</v>
      </c>
      <c r="F36" s="21">
        <v>836</v>
      </c>
      <c r="G36" s="20">
        <v>1585</v>
      </c>
      <c r="H36" s="20">
        <v>530</v>
      </c>
      <c r="I36" s="20">
        <v>549</v>
      </c>
      <c r="J36" s="20">
        <v>309</v>
      </c>
      <c r="K36" s="20">
        <v>821</v>
      </c>
      <c r="L36" s="20">
        <v>449</v>
      </c>
      <c r="M36" s="20">
        <v>1060</v>
      </c>
      <c r="N36" s="20">
        <v>763</v>
      </c>
      <c r="O36" s="22">
        <f t="shared" si="2"/>
        <v>8434</v>
      </c>
      <c r="P36" s="23">
        <f t="shared" si="1"/>
        <v>0.13440187659058422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20">
        <v>88</v>
      </c>
      <c r="D37" s="20">
        <v>91</v>
      </c>
      <c r="E37" s="20">
        <v>76</v>
      </c>
      <c r="F37" s="21">
        <v>145</v>
      </c>
      <c r="G37" s="20">
        <v>60</v>
      </c>
      <c r="H37" s="20">
        <v>118</v>
      </c>
      <c r="I37" s="20">
        <v>120</v>
      </c>
      <c r="J37" s="20">
        <v>104</v>
      </c>
      <c r="K37" s="20">
        <v>90</v>
      </c>
      <c r="L37" s="20">
        <v>117</v>
      </c>
      <c r="M37" s="20">
        <v>120</v>
      </c>
      <c r="N37" s="20">
        <f>70+2+2</f>
        <v>74</v>
      </c>
      <c r="O37" s="22">
        <f t="shared" si="2"/>
        <v>1203</v>
      </c>
      <c r="P37" s="23">
        <f aca="true" t="shared" si="5" ref="P37:P68">O37/$O$196*100</f>
        <v>0.019170673172690635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20">
        <v>10416</v>
      </c>
      <c r="D38" s="20">
        <v>14441</v>
      </c>
      <c r="E38" s="20">
        <f>15780+14+9+3</f>
        <v>15806</v>
      </c>
      <c r="F38" s="21">
        <f>13328+10-1</f>
        <v>13337</v>
      </c>
      <c r="G38" s="20">
        <f>15211</f>
        <v>15211</v>
      </c>
      <c r="H38" s="20">
        <f>13813-16</f>
        <v>13797</v>
      </c>
      <c r="I38" s="20">
        <f>12196-312</f>
        <v>11884</v>
      </c>
      <c r="J38" s="20">
        <f>14110+405</f>
        <v>14515</v>
      </c>
      <c r="K38" s="20">
        <f>17128+3+105</f>
        <v>17236</v>
      </c>
      <c r="L38" s="20">
        <f>16450+5+402</f>
        <v>16857</v>
      </c>
      <c r="M38" s="20">
        <f>17941-2</f>
        <v>17939</v>
      </c>
      <c r="N38" s="20">
        <v>23453</v>
      </c>
      <c r="O38" s="22">
        <f t="shared" si="2"/>
        <v>184892</v>
      </c>
      <c r="P38" s="23">
        <f t="shared" si="5"/>
        <v>2.9463874515753257</v>
      </c>
      <c r="Q38" s="7">
        <f>161740-O38</f>
        <v>-23152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20">
        <f>552+43</f>
        <v>595</v>
      </c>
      <c r="D39" s="20">
        <f>544+2</f>
        <v>546</v>
      </c>
      <c r="E39" s="20">
        <f>788+1</f>
        <v>789</v>
      </c>
      <c r="F39" s="21">
        <f>1944+3</f>
        <v>1947</v>
      </c>
      <c r="G39" s="20">
        <v>776</v>
      </c>
      <c r="H39" s="20">
        <v>625</v>
      </c>
      <c r="I39" s="20">
        <v>690</v>
      </c>
      <c r="J39" s="21">
        <v>566</v>
      </c>
      <c r="K39" s="20">
        <v>762</v>
      </c>
      <c r="L39" s="20">
        <v>1358</v>
      </c>
      <c r="M39" s="20">
        <v>977</v>
      </c>
      <c r="N39" s="20">
        <f>5+947+1</f>
        <v>953</v>
      </c>
      <c r="O39" s="22">
        <f t="shared" si="2"/>
        <v>10584</v>
      </c>
      <c r="P39" s="23">
        <f t="shared" si="5"/>
        <v>0.16866367818766226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20">
        <v>7144</v>
      </c>
      <c r="D40" s="20">
        <v>6897</v>
      </c>
      <c r="E40" s="20">
        <f>8155+7+18+1516+234-1745</f>
        <v>8185</v>
      </c>
      <c r="F40" s="21">
        <f>8785+11+1</f>
        <v>8797</v>
      </c>
      <c r="G40" s="20">
        <f>9577+33</f>
        <v>9610</v>
      </c>
      <c r="H40" s="20">
        <f>10391+158</f>
        <v>10549</v>
      </c>
      <c r="I40" s="20">
        <f>9670-33</f>
        <v>9637</v>
      </c>
      <c r="J40" s="20">
        <f>9122+10</f>
        <v>9132</v>
      </c>
      <c r="K40" s="20">
        <f>8548+13+53</f>
        <v>8614</v>
      </c>
      <c r="L40" s="20">
        <f>9285+340+49</f>
        <v>9674</v>
      </c>
      <c r="M40" s="20">
        <f>9527+151</f>
        <v>9678</v>
      </c>
      <c r="N40" s="20">
        <v>8985</v>
      </c>
      <c r="O40" s="22">
        <f t="shared" si="2"/>
        <v>106902</v>
      </c>
      <c r="P40" s="23">
        <f t="shared" si="5"/>
        <v>1.7035605182934117</v>
      </c>
      <c r="Q40" s="7">
        <f>97917-O40</f>
        <v>-8985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20">
        <v>9280</v>
      </c>
      <c r="D41" s="20">
        <v>10611</v>
      </c>
      <c r="E41" s="20">
        <f>14600+13</f>
        <v>14613</v>
      </c>
      <c r="F41" s="21">
        <f>10366+6</f>
        <v>10372</v>
      </c>
      <c r="G41" s="20">
        <f>12263+880</f>
        <v>13143</v>
      </c>
      <c r="H41" s="20">
        <v>18451</v>
      </c>
      <c r="I41" s="20">
        <f>11297-880</f>
        <v>10417</v>
      </c>
      <c r="J41" s="20">
        <f>10343+359</f>
        <v>10702</v>
      </c>
      <c r="K41" s="20">
        <f>12820-29</f>
        <v>12791</v>
      </c>
      <c r="L41" s="20">
        <f>11860+386</f>
        <v>12246</v>
      </c>
      <c r="M41" s="20">
        <f>15519-88</f>
        <v>15431</v>
      </c>
      <c r="N41" s="20">
        <v>25320</v>
      </c>
      <c r="O41" s="22">
        <f t="shared" si="2"/>
        <v>163377</v>
      </c>
      <c r="P41" s="23">
        <f t="shared" si="5"/>
        <v>2.6035303997794497</v>
      </c>
      <c r="Q41" s="7">
        <f>138017-O41</f>
        <v>-25360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20">
        <v>2670</v>
      </c>
      <c r="D42" s="20">
        <v>2954</v>
      </c>
      <c r="E42" s="20">
        <f>4006+31</f>
        <v>4037</v>
      </c>
      <c r="F42" s="21">
        <f>6236+2-3</f>
        <v>6235</v>
      </c>
      <c r="G42" s="20">
        <f>5727+19</f>
        <v>5746</v>
      </c>
      <c r="H42" s="20">
        <f>4812-13</f>
        <v>4799</v>
      </c>
      <c r="I42" s="20">
        <f>7292-19</f>
        <v>7273</v>
      </c>
      <c r="J42" s="20">
        <f>5516+13</f>
        <v>5529</v>
      </c>
      <c r="K42" s="20">
        <f>4990+2-7</f>
        <v>4985</v>
      </c>
      <c r="L42" s="20">
        <f>7178+14+200</f>
        <v>7392</v>
      </c>
      <c r="M42" s="20">
        <f>4401-28</f>
        <v>4373</v>
      </c>
      <c r="N42" s="20">
        <v>5090</v>
      </c>
      <c r="O42" s="22">
        <f t="shared" si="2"/>
        <v>61083</v>
      </c>
      <c r="P42" s="23">
        <f t="shared" si="5"/>
        <v>0.9734016869554962</v>
      </c>
      <c r="Q42" s="7">
        <f>55993-O42</f>
        <v>-5090</v>
      </c>
      <c r="R42" s="4"/>
      <c r="S42" s="3"/>
      <c r="T42" s="4"/>
      <c r="U42" s="7"/>
    </row>
    <row r="43" spans="1:21" ht="13.5" customHeight="1" thickBot="1">
      <c r="A43" s="54">
        <v>9</v>
      </c>
      <c r="B43" s="114" t="s">
        <v>73</v>
      </c>
      <c r="C43" s="55">
        <f>1070+1+1+3+1</f>
        <v>1076</v>
      </c>
      <c r="D43" s="55">
        <f>2160+1</f>
        <v>2161</v>
      </c>
      <c r="E43" s="55">
        <f>1420+4</f>
        <v>1424</v>
      </c>
      <c r="F43" s="56">
        <v>2750</v>
      </c>
      <c r="G43" s="55">
        <v>2804</v>
      </c>
      <c r="H43" s="55">
        <v>4490</v>
      </c>
      <c r="I43" s="55">
        <v>5239</v>
      </c>
      <c r="J43" s="55">
        <v>4461</v>
      </c>
      <c r="K43" s="55">
        <v>4004</v>
      </c>
      <c r="L43" s="55">
        <f>3742+1</f>
        <v>3743</v>
      </c>
      <c r="M43" s="55">
        <v>3577</v>
      </c>
      <c r="N43" s="55">
        <f>3740+1+6+2</f>
        <v>3749</v>
      </c>
      <c r="O43" s="41">
        <f t="shared" si="2"/>
        <v>39478</v>
      </c>
      <c r="P43" s="57">
        <f t="shared" si="5"/>
        <v>0.6291104202090448</v>
      </c>
      <c r="Q43" s="7"/>
      <c r="R43" s="4"/>
      <c r="S43" s="4"/>
      <c r="T43" s="4"/>
      <c r="U43" s="7"/>
    </row>
    <row r="44" spans="1:21" ht="15" thickBot="1" thickTop="1">
      <c r="A44" s="58" t="s">
        <v>27</v>
      </c>
      <c r="B44" s="59" t="s">
        <v>28</v>
      </c>
      <c r="C44" s="60">
        <f aca="true" t="shared" si="6" ref="C44:N44">SUM(C45:C82)</f>
        <v>3405</v>
      </c>
      <c r="D44" s="60">
        <f t="shared" si="6"/>
        <v>2662</v>
      </c>
      <c r="E44" s="60">
        <f t="shared" si="6"/>
        <v>3776</v>
      </c>
      <c r="F44" s="60">
        <f t="shared" si="6"/>
        <v>4945</v>
      </c>
      <c r="G44" s="60">
        <f t="shared" si="6"/>
        <v>3778</v>
      </c>
      <c r="H44" s="60">
        <f>SUM(H45:H82)</f>
        <v>6470</v>
      </c>
      <c r="I44" s="60">
        <f t="shared" si="6"/>
        <v>5799</v>
      </c>
      <c r="J44" s="60">
        <f t="shared" si="6"/>
        <v>7152</v>
      </c>
      <c r="K44" s="60">
        <f t="shared" si="6"/>
        <v>7180</v>
      </c>
      <c r="L44" s="60">
        <f t="shared" si="6"/>
        <v>5204</v>
      </c>
      <c r="M44" s="60">
        <f t="shared" si="6"/>
        <v>5412</v>
      </c>
      <c r="N44" s="60">
        <f t="shared" si="6"/>
        <v>10691</v>
      </c>
      <c r="O44" s="41">
        <f t="shared" si="2"/>
        <v>66474</v>
      </c>
      <c r="P44" s="61">
        <f t="shared" si="5"/>
        <v>1.0593111624949603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62" t="s">
        <v>124</v>
      </c>
      <c r="C45" s="44">
        <v>121</v>
      </c>
      <c r="D45" s="44">
        <v>102</v>
      </c>
      <c r="E45" s="44">
        <v>148</v>
      </c>
      <c r="F45" s="45">
        <v>175</v>
      </c>
      <c r="G45" s="44">
        <v>49</v>
      </c>
      <c r="H45" s="44">
        <v>164</v>
      </c>
      <c r="I45" s="44">
        <v>422</v>
      </c>
      <c r="J45" s="44">
        <v>836</v>
      </c>
      <c r="K45" s="44">
        <v>386</v>
      </c>
      <c r="L45" s="44">
        <v>362</v>
      </c>
      <c r="M45" s="44">
        <v>252</v>
      </c>
      <c r="N45" s="44">
        <v>147</v>
      </c>
      <c r="O45" s="46">
        <f t="shared" si="2"/>
        <v>3164</v>
      </c>
      <c r="P45" s="47">
        <f t="shared" si="5"/>
        <v>0.05042062337356041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20">
        <v>4</v>
      </c>
      <c r="D46" s="20">
        <v>8</v>
      </c>
      <c r="E46" s="20">
        <v>6</v>
      </c>
      <c r="F46" s="21">
        <v>9</v>
      </c>
      <c r="G46" s="20">
        <v>2</v>
      </c>
      <c r="H46" s="20">
        <v>6</v>
      </c>
      <c r="I46" s="20">
        <v>8</v>
      </c>
      <c r="J46" s="20">
        <v>26</v>
      </c>
      <c r="K46" s="20">
        <v>15</v>
      </c>
      <c r="L46" s="20">
        <v>7</v>
      </c>
      <c r="M46" s="20">
        <v>20</v>
      </c>
      <c r="N46" s="20">
        <v>9</v>
      </c>
      <c r="O46" s="22">
        <f t="shared" si="2"/>
        <v>120</v>
      </c>
      <c r="P46" s="23">
        <f t="shared" si="5"/>
        <v>0.0019122866007671455</v>
      </c>
      <c r="R46" s="4"/>
      <c r="S46" s="4"/>
      <c r="T46" s="4"/>
      <c r="U46" s="7"/>
    </row>
    <row r="47" spans="1:21" ht="12.75" customHeight="1">
      <c r="A47" s="43">
        <v>3</v>
      </c>
      <c r="B47" s="115" t="s">
        <v>67</v>
      </c>
      <c r="C47" s="20">
        <v>2019</v>
      </c>
      <c r="D47" s="20">
        <f>1351+2</f>
        <v>1353</v>
      </c>
      <c r="E47" s="20">
        <f>2148+8+8+44+42</f>
        <v>2250</v>
      </c>
      <c r="F47" s="21">
        <f>3141+3</f>
        <v>3144</v>
      </c>
      <c r="G47" s="20">
        <f>2662+2</f>
        <v>2664</v>
      </c>
      <c r="H47" s="20">
        <v>4590</v>
      </c>
      <c r="I47" s="20">
        <f>2756+1</f>
        <v>2757</v>
      </c>
      <c r="J47" s="20">
        <v>2507</v>
      </c>
      <c r="K47" s="20">
        <f>4302+2</f>
        <v>4304</v>
      </c>
      <c r="L47" s="20">
        <f>2914+18</f>
        <v>2932</v>
      </c>
      <c r="M47" s="20">
        <v>3244</v>
      </c>
      <c r="N47" s="20">
        <v>8153</v>
      </c>
      <c r="O47" s="22">
        <f t="shared" si="2"/>
        <v>39917</v>
      </c>
      <c r="P47" s="23">
        <f t="shared" si="5"/>
        <v>0.636106202023518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20">
        <v>24</v>
      </c>
      <c r="D48" s="20">
        <v>6</v>
      </c>
      <c r="E48" s="20">
        <v>17</v>
      </c>
      <c r="F48" s="21">
        <v>17</v>
      </c>
      <c r="G48" s="20">
        <v>21</v>
      </c>
      <c r="H48" s="20">
        <v>18</v>
      </c>
      <c r="I48" s="20">
        <v>27</v>
      </c>
      <c r="J48" s="20">
        <v>36</v>
      </c>
      <c r="K48" s="20">
        <v>42</v>
      </c>
      <c r="L48" s="20">
        <v>32</v>
      </c>
      <c r="M48" s="20">
        <v>52</v>
      </c>
      <c r="N48" s="20">
        <v>61</v>
      </c>
      <c r="O48" s="22">
        <f t="shared" si="2"/>
        <v>353</v>
      </c>
      <c r="P48" s="23">
        <f t="shared" si="5"/>
        <v>0.00562530975059002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20">
        <v>2</v>
      </c>
      <c r="D49" s="49">
        <v>2</v>
      </c>
      <c r="E49" s="20">
        <v>2</v>
      </c>
      <c r="F49" s="21">
        <v>3</v>
      </c>
      <c r="G49" s="20">
        <v>6</v>
      </c>
      <c r="H49" s="20">
        <v>3</v>
      </c>
      <c r="I49" s="20">
        <v>3</v>
      </c>
      <c r="J49" s="20">
        <v>20</v>
      </c>
      <c r="K49" s="20">
        <v>8</v>
      </c>
      <c r="L49" s="20">
        <v>7</v>
      </c>
      <c r="M49" s="20">
        <v>3</v>
      </c>
      <c r="N49" s="20">
        <v>2</v>
      </c>
      <c r="O49" s="22">
        <f t="shared" si="2"/>
        <v>61</v>
      </c>
      <c r="P49" s="23">
        <f t="shared" si="5"/>
        <v>0.0009720790220566324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20">
        <v>2</v>
      </c>
      <c r="D50" s="20">
        <v>1</v>
      </c>
      <c r="E50" s="20">
        <v>1</v>
      </c>
      <c r="F50" s="21"/>
      <c r="G50" s="20">
        <v>2</v>
      </c>
      <c r="H50" s="20">
        <v>3</v>
      </c>
      <c r="I50" s="20">
        <v>0</v>
      </c>
      <c r="J50" s="21">
        <v>7</v>
      </c>
      <c r="K50" s="20">
        <v>1</v>
      </c>
      <c r="L50" s="20">
        <v>0</v>
      </c>
      <c r="M50" s="20">
        <v>1</v>
      </c>
      <c r="N50" s="20">
        <v>2</v>
      </c>
      <c r="O50" s="22">
        <f t="shared" si="2"/>
        <v>20</v>
      </c>
      <c r="P50" s="23">
        <f t="shared" si="5"/>
        <v>0.00031871443346119093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20">
        <v>1</v>
      </c>
      <c r="D51" s="20">
        <v>1</v>
      </c>
      <c r="E51" s="20">
        <v>0</v>
      </c>
      <c r="F51" s="21">
        <v>0</v>
      </c>
      <c r="G51" s="20">
        <v>0</v>
      </c>
      <c r="H51" s="20">
        <v>1</v>
      </c>
      <c r="I51" s="20">
        <v>0</v>
      </c>
      <c r="J51" s="21">
        <v>0</v>
      </c>
      <c r="K51" s="20">
        <v>1</v>
      </c>
      <c r="L51" s="20">
        <v>1</v>
      </c>
      <c r="M51" s="20">
        <v>4</v>
      </c>
      <c r="N51" s="20">
        <v>0</v>
      </c>
      <c r="O51" s="22">
        <f t="shared" si="2"/>
        <v>9</v>
      </c>
      <c r="P51" s="23">
        <f t="shared" si="5"/>
        <v>0.00014342149505753592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20">
        <v>2</v>
      </c>
      <c r="D52" s="20">
        <v>6</v>
      </c>
      <c r="E52" s="20">
        <v>10</v>
      </c>
      <c r="F52" s="21">
        <v>12</v>
      </c>
      <c r="G52" s="20">
        <v>1</v>
      </c>
      <c r="H52" s="20">
        <v>20</v>
      </c>
      <c r="I52" s="20">
        <v>6</v>
      </c>
      <c r="J52" s="20">
        <v>11</v>
      </c>
      <c r="K52" s="20">
        <v>11</v>
      </c>
      <c r="L52" s="20">
        <v>8</v>
      </c>
      <c r="M52" s="20">
        <v>10</v>
      </c>
      <c r="N52" s="48">
        <v>8</v>
      </c>
      <c r="O52" s="22">
        <f t="shared" si="2"/>
        <v>105</v>
      </c>
      <c r="P52" s="23">
        <f t="shared" si="5"/>
        <v>0.0016732507756712525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20">
        <v>12</v>
      </c>
      <c r="D53" s="20">
        <v>4</v>
      </c>
      <c r="E53" s="20">
        <v>6</v>
      </c>
      <c r="F53" s="21">
        <v>15</v>
      </c>
      <c r="G53" s="20">
        <v>10</v>
      </c>
      <c r="H53" s="20">
        <v>7</v>
      </c>
      <c r="I53" s="20">
        <v>23</v>
      </c>
      <c r="J53" s="20">
        <v>31</v>
      </c>
      <c r="K53" s="20">
        <v>18</v>
      </c>
      <c r="L53" s="20">
        <v>9</v>
      </c>
      <c r="M53" s="20">
        <v>4</v>
      </c>
      <c r="N53" s="20">
        <v>31</v>
      </c>
      <c r="O53" s="22">
        <f t="shared" si="2"/>
        <v>170</v>
      </c>
      <c r="P53" s="23">
        <f t="shared" si="5"/>
        <v>0.002709072684420123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20">
        <v>3</v>
      </c>
      <c r="D54" s="20">
        <v>2</v>
      </c>
      <c r="E54" s="20">
        <v>0</v>
      </c>
      <c r="F54" s="21"/>
      <c r="G54" s="20">
        <v>0</v>
      </c>
      <c r="H54" s="20">
        <v>1</v>
      </c>
      <c r="I54" s="20">
        <v>4</v>
      </c>
      <c r="J54" s="20">
        <v>2</v>
      </c>
      <c r="K54" s="20">
        <v>6</v>
      </c>
      <c r="L54" s="20">
        <v>3</v>
      </c>
      <c r="M54" s="20">
        <v>1</v>
      </c>
      <c r="N54" s="20">
        <v>0</v>
      </c>
      <c r="O54" s="22">
        <f t="shared" si="2"/>
        <v>22</v>
      </c>
      <c r="P54" s="23">
        <f t="shared" si="5"/>
        <v>0.00035058587680731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210</v>
      </c>
      <c r="C55" s="20">
        <v>2</v>
      </c>
      <c r="D55" s="20">
        <v>5</v>
      </c>
      <c r="E55" s="20">
        <v>2</v>
      </c>
      <c r="F55" s="21">
        <v>5</v>
      </c>
      <c r="G55" s="20">
        <v>2</v>
      </c>
      <c r="H55" s="20">
        <v>4</v>
      </c>
      <c r="I55" s="20">
        <v>5</v>
      </c>
      <c r="J55" s="20">
        <v>10</v>
      </c>
      <c r="K55" s="20">
        <v>9</v>
      </c>
      <c r="L55" s="20">
        <v>3</v>
      </c>
      <c r="M55" s="20">
        <v>7</v>
      </c>
      <c r="N55" s="20">
        <v>18</v>
      </c>
      <c r="O55" s="22">
        <f t="shared" si="2"/>
        <v>72</v>
      </c>
      <c r="P55" s="23">
        <f t="shared" si="5"/>
        <v>0.0011473719604602874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20">
        <v>11</v>
      </c>
      <c r="D56" s="20">
        <v>13</v>
      </c>
      <c r="E56" s="20">
        <v>5</v>
      </c>
      <c r="F56" s="21">
        <v>10</v>
      </c>
      <c r="G56" s="20">
        <v>5</v>
      </c>
      <c r="H56" s="20">
        <v>17</v>
      </c>
      <c r="I56" s="20">
        <v>23</v>
      </c>
      <c r="J56" s="20">
        <v>16</v>
      </c>
      <c r="K56" s="20">
        <v>17</v>
      </c>
      <c r="L56" s="20">
        <v>19</v>
      </c>
      <c r="M56" s="20">
        <v>10</v>
      </c>
      <c r="N56" s="20">
        <v>15</v>
      </c>
      <c r="O56" s="22">
        <f t="shared" si="2"/>
        <v>161</v>
      </c>
      <c r="P56" s="23">
        <f t="shared" si="5"/>
        <v>0.0025656511893625868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20">
        <v>0</v>
      </c>
      <c r="D57" s="20">
        <v>1</v>
      </c>
      <c r="E57" s="20">
        <v>1</v>
      </c>
      <c r="F57" s="21">
        <v>4</v>
      </c>
      <c r="G57" s="20">
        <v>1</v>
      </c>
      <c r="H57" s="20">
        <v>4</v>
      </c>
      <c r="I57" s="20">
        <v>1</v>
      </c>
      <c r="J57" s="21">
        <v>4</v>
      </c>
      <c r="K57" s="20">
        <v>1</v>
      </c>
      <c r="L57" s="20">
        <v>4</v>
      </c>
      <c r="M57" s="20">
        <v>1</v>
      </c>
      <c r="N57" s="20">
        <v>5</v>
      </c>
      <c r="O57" s="22">
        <f t="shared" si="2"/>
        <v>27</v>
      </c>
      <c r="P57" s="23">
        <f t="shared" si="5"/>
        <v>0.0004302644851726078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20">
        <v>56</v>
      </c>
      <c r="D58" s="20">
        <v>64</v>
      </c>
      <c r="E58" s="20">
        <f>53+1</f>
        <v>54</v>
      </c>
      <c r="F58" s="21">
        <v>49</v>
      </c>
      <c r="G58" s="20">
        <v>49</v>
      </c>
      <c r="H58" s="20">
        <v>28</v>
      </c>
      <c r="I58" s="20">
        <v>36</v>
      </c>
      <c r="J58" s="20">
        <v>60</v>
      </c>
      <c r="K58" s="20">
        <v>65</v>
      </c>
      <c r="L58" s="20">
        <v>37</v>
      </c>
      <c r="M58" s="20">
        <v>55</v>
      </c>
      <c r="N58" s="20">
        <v>40</v>
      </c>
      <c r="O58" s="22">
        <f t="shared" si="2"/>
        <v>593</v>
      </c>
      <c r="P58" s="23">
        <f t="shared" si="5"/>
        <v>0.009449882952124311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20">
        <v>0</v>
      </c>
      <c r="D59" s="20">
        <v>0</v>
      </c>
      <c r="E59" s="20">
        <v>1</v>
      </c>
      <c r="F59" s="21"/>
      <c r="G59" s="20">
        <v>1</v>
      </c>
      <c r="H59" s="20">
        <v>0</v>
      </c>
      <c r="I59" s="20">
        <v>0</v>
      </c>
      <c r="J59" s="21">
        <v>4</v>
      </c>
      <c r="K59" s="20">
        <v>1</v>
      </c>
      <c r="L59" s="20">
        <v>0</v>
      </c>
      <c r="M59" s="20">
        <v>1</v>
      </c>
      <c r="N59" s="20">
        <v>1</v>
      </c>
      <c r="O59" s="22">
        <f t="shared" si="2"/>
        <v>9</v>
      </c>
      <c r="P59" s="23">
        <f t="shared" si="5"/>
        <v>0.00014342149505753592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20">
        <v>6</v>
      </c>
      <c r="D60" s="20">
        <v>10</v>
      </c>
      <c r="E60" s="20">
        <v>2</v>
      </c>
      <c r="F60" s="21">
        <v>7</v>
      </c>
      <c r="G60" s="20">
        <v>6</v>
      </c>
      <c r="H60" s="20">
        <v>8</v>
      </c>
      <c r="I60" s="20">
        <v>5</v>
      </c>
      <c r="J60" s="20">
        <v>10</v>
      </c>
      <c r="K60" s="20">
        <v>6</v>
      </c>
      <c r="L60" s="20">
        <v>5</v>
      </c>
      <c r="M60" s="20">
        <v>2</v>
      </c>
      <c r="N60" s="20">
        <v>5</v>
      </c>
      <c r="O60" s="22">
        <f t="shared" si="2"/>
        <v>72</v>
      </c>
      <c r="P60" s="23">
        <f t="shared" si="5"/>
        <v>0.0011473719604602874</v>
      </c>
      <c r="R60" s="4"/>
      <c r="S60" s="4"/>
      <c r="T60" s="4"/>
      <c r="U60" s="7"/>
    </row>
    <row r="61" spans="1:21" ht="12.75" customHeight="1">
      <c r="A61" s="43">
        <v>17</v>
      </c>
      <c r="B61" s="142" t="s">
        <v>153</v>
      </c>
      <c r="C61" s="20">
        <v>10</v>
      </c>
      <c r="D61" s="20">
        <v>14</v>
      </c>
      <c r="E61" s="20">
        <v>6</v>
      </c>
      <c r="F61" s="21">
        <v>28</v>
      </c>
      <c r="G61" s="20">
        <v>12</v>
      </c>
      <c r="H61" s="20">
        <v>11</v>
      </c>
      <c r="I61" s="20">
        <v>16</v>
      </c>
      <c r="J61" s="20">
        <v>33</v>
      </c>
      <c r="K61" s="20">
        <v>27</v>
      </c>
      <c r="L61" s="20">
        <v>14</v>
      </c>
      <c r="M61" s="20">
        <v>15</v>
      </c>
      <c r="N61" s="48">
        <v>9</v>
      </c>
      <c r="O61" s="22">
        <f t="shared" si="2"/>
        <v>195</v>
      </c>
      <c r="P61" s="23">
        <f t="shared" si="5"/>
        <v>0.003107465726246612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20">
        <f>166+12+13</f>
        <v>191</v>
      </c>
      <c r="D62" s="20">
        <v>133</v>
      </c>
      <c r="E62" s="20">
        <v>131</v>
      </c>
      <c r="F62" s="21">
        <v>189</v>
      </c>
      <c r="G62" s="20">
        <v>132</v>
      </c>
      <c r="H62" s="20">
        <v>163</v>
      </c>
      <c r="I62" s="20">
        <v>136</v>
      </c>
      <c r="J62" s="20">
        <v>114</v>
      </c>
      <c r="K62" s="20">
        <v>174</v>
      </c>
      <c r="L62" s="20">
        <v>157</v>
      </c>
      <c r="M62" s="20">
        <v>157</v>
      </c>
      <c r="N62" s="20">
        <v>240</v>
      </c>
      <c r="O62" s="22">
        <f t="shared" si="2"/>
        <v>1917</v>
      </c>
      <c r="P62" s="23">
        <f t="shared" si="5"/>
        <v>0.030548778447255148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20">
        <v>3</v>
      </c>
      <c r="D63" s="20">
        <v>4</v>
      </c>
      <c r="E63" s="20">
        <v>3</v>
      </c>
      <c r="F63" s="21">
        <v>2</v>
      </c>
      <c r="G63" s="20">
        <v>2</v>
      </c>
      <c r="H63" s="20">
        <v>3</v>
      </c>
      <c r="I63" s="20">
        <v>6</v>
      </c>
      <c r="J63" s="20">
        <v>1</v>
      </c>
      <c r="K63" s="20">
        <v>5</v>
      </c>
      <c r="L63" s="20">
        <v>3</v>
      </c>
      <c r="M63" s="20">
        <v>2</v>
      </c>
      <c r="N63" s="20">
        <v>1</v>
      </c>
      <c r="O63" s="22">
        <f t="shared" si="2"/>
        <v>35</v>
      </c>
      <c r="P63" s="23">
        <f t="shared" si="5"/>
        <v>0.0005577502585570841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211</v>
      </c>
      <c r="C64" s="20">
        <f>156+1</f>
        <v>157</v>
      </c>
      <c r="D64" s="20">
        <v>184</v>
      </c>
      <c r="E64" s="20">
        <f>149+20</f>
        <v>169</v>
      </c>
      <c r="F64" s="21">
        <v>241</v>
      </c>
      <c r="G64" s="20">
        <f>170+1</f>
        <v>171</v>
      </c>
      <c r="H64" s="20">
        <v>285</v>
      </c>
      <c r="I64" s="20">
        <v>269</v>
      </c>
      <c r="J64" s="20">
        <v>250</v>
      </c>
      <c r="K64" s="20">
        <v>261</v>
      </c>
      <c r="L64" s="20">
        <f>173+1</f>
        <v>174</v>
      </c>
      <c r="M64" s="20">
        <v>476</v>
      </c>
      <c r="N64" s="20">
        <f>607+2+4+5</f>
        <v>618</v>
      </c>
      <c r="O64" s="22">
        <f t="shared" si="2"/>
        <v>3255</v>
      </c>
      <c r="P64" s="23">
        <f t="shared" si="5"/>
        <v>0.05187077404580882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20">
        <v>20</v>
      </c>
      <c r="D65" s="20">
        <v>21</v>
      </c>
      <c r="E65" s="20">
        <v>11</v>
      </c>
      <c r="F65" s="21">
        <v>7</v>
      </c>
      <c r="G65" s="20">
        <f>17+2</f>
        <v>19</v>
      </c>
      <c r="H65" s="20">
        <v>23</v>
      </c>
      <c r="I65" s="20">
        <v>22</v>
      </c>
      <c r="J65" s="21">
        <v>20</v>
      </c>
      <c r="K65" s="20">
        <v>15</v>
      </c>
      <c r="L65" s="20">
        <f>13+1</f>
        <v>14</v>
      </c>
      <c r="M65" s="20">
        <v>8</v>
      </c>
      <c r="N65" s="48">
        <f>12+1+4</f>
        <v>17</v>
      </c>
      <c r="O65" s="22">
        <f t="shared" si="2"/>
        <v>197</v>
      </c>
      <c r="P65" s="23">
        <f t="shared" si="5"/>
        <v>0.0031393371695927308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20">
        <v>7</v>
      </c>
      <c r="D66" s="20">
        <v>4</v>
      </c>
      <c r="E66" s="20">
        <f>5</f>
        <v>5</v>
      </c>
      <c r="F66" s="21">
        <v>7</v>
      </c>
      <c r="G66" s="20">
        <v>6</v>
      </c>
      <c r="H66" s="20">
        <v>8</v>
      </c>
      <c r="I66" s="20">
        <v>9</v>
      </c>
      <c r="J66" s="20">
        <v>9</v>
      </c>
      <c r="K66" s="20">
        <v>9</v>
      </c>
      <c r="L66" s="20">
        <v>13</v>
      </c>
      <c r="M66" s="20">
        <v>4</v>
      </c>
      <c r="N66" s="48">
        <v>13</v>
      </c>
      <c r="O66" s="22">
        <f t="shared" si="2"/>
        <v>94</v>
      </c>
      <c r="P66" s="23">
        <f t="shared" si="5"/>
        <v>0.0014979578372675973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20">
        <v>311</v>
      </c>
      <c r="D67" s="20">
        <v>329</v>
      </c>
      <c r="E67" s="20">
        <v>394</v>
      </c>
      <c r="F67" s="21">
        <v>409</v>
      </c>
      <c r="G67" s="20">
        <v>170</v>
      </c>
      <c r="H67" s="20">
        <v>541</v>
      </c>
      <c r="I67" s="20">
        <v>1076</v>
      </c>
      <c r="J67" s="20">
        <v>2277</v>
      </c>
      <c r="K67" s="20">
        <v>1066</v>
      </c>
      <c r="L67" s="20">
        <v>709</v>
      </c>
      <c r="M67" s="20">
        <v>568</v>
      </c>
      <c r="N67" s="20">
        <v>415</v>
      </c>
      <c r="O67" s="22">
        <f t="shared" si="2"/>
        <v>8265</v>
      </c>
      <c r="P67" s="23">
        <f t="shared" si="5"/>
        <v>0.13170873962783716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20">
        <v>25</v>
      </c>
      <c r="D68" s="20">
        <v>13</v>
      </c>
      <c r="E68" s="20">
        <v>7</v>
      </c>
      <c r="F68" s="21">
        <v>10</v>
      </c>
      <c r="G68" s="20">
        <v>9</v>
      </c>
      <c r="H68" s="20">
        <v>15</v>
      </c>
      <c r="I68" s="20">
        <v>25</v>
      </c>
      <c r="J68" s="20">
        <v>28</v>
      </c>
      <c r="K68" s="20">
        <v>15</v>
      </c>
      <c r="L68" s="20">
        <v>15</v>
      </c>
      <c r="M68" s="20">
        <v>14</v>
      </c>
      <c r="N68" s="20">
        <v>84</v>
      </c>
      <c r="O68" s="22">
        <f t="shared" si="2"/>
        <v>260</v>
      </c>
      <c r="P68" s="23">
        <f t="shared" si="5"/>
        <v>0.004143287634995482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20">
        <v>20</v>
      </c>
      <c r="D69" s="20">
        <v>5</v>
      </c>
      <c r="E69" s="20">
        <v>24</v>
      </c>
      <c r="F69" s="21">
        <v>32</v>
      </c>
      <c r="G69" s="20">
        <v>67</v>
      </c>
      <c r="H69" s="20">
        <v>33</v>
      </c>
      <c r="I69" s="20">
        <v>27</v>
      </c>
      <c r="J69" s="20">
        <v>40</v>
      </c>
      <c r="K69" s="20">
        <v>31</v>
      </c>
      <c r="L69" s="20">
        <v>49</v>
      </c>
      <c r="M69" s="20">
        <v>32</v>
      </c>
      <c r="N69" s="20">
        <f>108+2</f>
        <v>110</v>
      </c>
      <c r="O69" s="22">
        <f aca="true" t="shared" si="7" ref="O69:O130">SUM(C69:N69)</f>
        <v>470</v>
      </c>
      <c r="P69" s="23">
        <f aca="true" t="shared" si="8" ref="P69:P100">O69/$O$196*100</f>
        <v>0.007489789186337987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20">
        <v>6</v>
      </c>
      <c r="D70" s="20">
        <v>13</v>
      </c>
      <c r="E70" s="20">
        <v>7</v>
      </c>
      <c r="F70" s="21">
        <v>26</v>
      </c>
      <c r="G70" s="20">
        <v>8</v>
      </c>
      <c r="H70" s="20">
        <v>6</v>
      </c>
      <c r="I70" s="20">
        <v>10</v>
      </c>
      <c r="J70" s="20">
        <v>23</v>
      </c>
      <c r="K70" s="20">
        <v>21</v>
      </c>
      <c r="L70" s="20">
        <v>8</v>
      </c>
      <c r="M70" s="20">
        <v>4</v>
      </c>
      <c r="N70" s="20">
        <f>10+1</f>
        <v>11</v>
      </c>
      <c r="O70" s="22">
        <f t="shared" si="7"/>
        <v>143</v>
      </c>
      <c r="P70" s="23">
        <f t="shared" si="8"/>
        <v>0.0022788081992475154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20">
        <v>1</v>
      </c>
      <c r="D71" s="20">
        <v>3</v>
      </c>
      <c r="E71" s="20">
        <v>5</v>
      </c>
      <c r="F71" s="21">
        <v>4</v>
      </c>
      <c r="G71" s="20">
        <v>3</v>
      </c>
      <c r="H71" s="20">
        <v>6</v>
      </c>
      <c r="I71" s="20">
        <v>6</v>
      </c>
      <c r="J71" s="20">
        <v>7</v>
      </c>
      <c r="K71" s="20">
        <v>5</v>
      </c>
      <c r="L71" s="20">
        <v>11</v>
      </c>
      <c r="M71" s="20">
        <v>10</v>
      </c>
      <c r="N71" s="20">
        <v>9</v>
      </c>
      <c r="O71" s="22">
        <f t="shared" si="7"/>
        <v>70</v>
      </c>
      <c r="P71" s="23">
        <f t="shared" si="8"/>
        <v>0.0011155005171141683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20">
        <v>9</v>
      </c>
      <c r="D72" s="20">
        <v>24</v>
      </c>
      <c r="E72" s="20">
        <v>17</v>
      </c>
      <c r="F72" s="21">
        <v>21</v>
      </c>
      <c r="G72" s="20">
        <v>8</v>
      </c>
      <c r="H72" s="20">
        <v>24</v>
      </c>
      <c r="I72" s="20">
        <v>13</v>
      </c>
      <c r="J72" s="20">
        <v>33</v>
      </c>
      <c r="K72" s="20">
        <v>25</v>
      </c>
      <c r="L72" s="20">
        <v>11</v>
      </c>
      <c r="M72" s="20">
        <v>20</v>
      </c>
      <c r="N72" s="20">
        <v>26</v>
      </c>
      <c r="O72" s="22">
        <f t="shared" si="7"/>
        <v>231</v>
      </c>
      <c r="P72" s="23">
        <f t="shared" si="8"/>
        <v>0.0036811517064767553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20">
        <v>19</v>
      </c>
      <c r="D73" s="20">
        <v>13</v>
      </c>
      <c r="E73" s="20">
        <v>34</v>
      </c>
      <c r="F73" s="21">
        <f>9+4</f>
        <v>13</v>
      </c>
      <c r="G73" s="20">
        <v>11</v>
      </c>
      <c r="H73" s="20">
        <v>22</v>
      </c>
      <c r="I73" s="20">
        <v>9</v>
      </c>
      <c r="J73" s="20">
        <v>35</v>
      </c>
      <c r="K73" s="20">
        <v>19</v>
      </c>
      <c r="L73" s="20">
        <v>39</v>
      </c>
      <c r="M73" s="20">
        <v>10</v>
      </c>
      <c r="N73" s="20">
        <v>36</v>
      </c>
      <c r="O73" s="22">
        <f t="shared" si="7"/>
        <v>260</v>
      </c>
      <c r="P73" s="23">
        <f t="shared" si="8"/>
        <v>0.004143287634995482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20">
        <v>0</v>
      </c>
      <c r="D74" s="20">
        <v>0</v>
      </c>
      <c r="E74" s="20">
        <v>0</v>
      </c>
      <c r="F74" s="21">
        <v>0</v>
      </c>
      <c r="G74" s="20">
        <v>0</v>
      </c>
      <c r="H74" s="20">
        <v>0</v>
      </c>
      <c r="I74" s="20">
        <v>0</v>
      </c>
      <c r="J74" s="21">
        <v>2</v>
      </c>
      <c r="K74" s="20">
        <v>0</v>
      </c>
      <c r="L74" s="20">
        <v>0</v>
      </c>
      <c r="M74" s="20">
        <v>1</v>
      </c>
      <c r="N74" s="20">
        <v>0</v>
      </c>
      <c r="O74" s="22">
        <f t="shared" si="7"/>
        <v>3</v>
      </c>
      <c r="P74" s="23">
        <f t="shared" si="8"/>
        <v>4.780716501917864E-05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20">
        <v>5</v>
      </c>
      <c r="D75" s="20">
        <v>6</v>
      </c>
      <c r="E75" s="20">
        <v>2</v>
      </c>
      <c r="F75" s="21">
        <v>7</v>
      </c>
      <c r="G75" s="20">
        <v>6</v>
      </c>
      <c r="H75" s="20">
        <v>7</v>
      </c>
      <c r="I75" s="20">
        <v>8</v>
      </c>
      <c r="J75" s="20">
        <v>8</v>
      </c>
      <c r="K75" s="20">
        <v>5</v>
      </c>
      <c r="L75" s="20">
        <v>0</v>
      </c>
      <c r="M75" s="20">
        <v>1</v>
      </c>
      <c r="N75" s="20">
        <v>3</v>
      </c>
      <c r="O75" s="22">
        <f t="shared" si="7"/>
        <v>58</v>
      </c>
      <c r="P75" s="23">
        <f t="shared" si="8"/>
        <v>0.0009242718570374538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20">
        <v>22</v>
      </c>
      <c r="D76" s="20">
        <v>7</v>
      </c>
      <c r="E76" s="20">
        <v>16</v>
      </c>
      <c r="F76" s="21">
        <v>29</v>
      </c>
      <c r="G76" s="20">
        <v>13</v>
      </c>
      <c r="H76" s="20">
        <v>12</v>
      </c>
      <c r="I76" s="20">
        <v>29</v>
      </c>
      <c r="J76" s="20">
        <v>12</v>
      </c>
      <c r="K76" s="20">
        <v>11</v>
      </c>
      <c r="L76" s="20">
        <v>33</v>
      </c>
      <c r="M76" s="20">
        <v>13</v>
      </c>
      <c r="N76" s="48">
        <v>10</v>
      </c>
      <c r="O76" s="22">
        <f t="shared" si="7"/>
        <v>207</v>
      </c>
      <c r="P76" s="23">
        <f t="shared" si="8"/>
        <v>0.003298694386323326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20">
        <v>47</v>
      </c>
      <c r="D77" s="20">
        <v>51</v>
      </c>
      <c r="E77" s="20">
        <v>40</v>
      </c>
      <c r="F77" s="21">
        <v>50</v>
      </c>
      <c r="G77" s="20">
        <v>37</v>
      </c>
      <c r="H77" s="20">
        <v>46</v>
      </c>
      <c r="I77" s="20">
        <v>55</v>
      </c>
      <c r="J77" s="20">
        <v>44</v>
      </c>
      <c r="K77" s="20">
        <v>45</v>
      </c>
      <c r="L77" s="20">
        <v>52</v>
      </c>
      <c r="M77" s="20">
        <v>36</v>
      </c>
      <c r="N77" s="20">
        <v>66</v>
      </c>
      <c r="O77" s="22">
        <f t="shared" si="7"/>
        <v>569</v>
      </c>
      <c r="P77" s="23">
        <f t="shared" si="8"/>
        <v>0.009067425631970882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20">
        <v>148</v>
      </c>
      <c r="D78" s="20">
        <v>118</v>
      </c>
      <c r="E78" s="20">
        <v>289</v>
      </c>
      <c r="F78" s="21">
        <v>230</v>
      </c>
      <c r="G78" s="20">
        <v>100</v>
      </c>
      <c r="H78" s="20">
        <v>268</v>
      </c>
      <c r="I78" s="20">
        <v>577</v>
      </c>
      <c r="J78" s="20">
        <v>432</v>
      </c>
      <c r="K78" s="20">
        <v>400</v>
      </c>
      <c r="L78" s="20">
        <v>296</v>
      </c>
      <c r="M78" s="20">
        <v>200</v>
      </c>
      <c r="N78" s="20">
        <v>234</v>
      </c>
      <c r="O78" s="22">
        <f t="shared" si="7"/>
        <v>3292</v>
      </c>
      <c r="P78" s="23">
        <f t="shared" si="8"/>
        <v>0.052460395747712024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20">
        <v>45</v>
      </c>
      <c r="D79" s="20">
        <v>40</v>
      </c>
      <c r="E79" s="20">
        <v>23</v>
      </c>
      <c r="F79" s="21">
        <v>37</v>
      </c>
      <c r="G79" s="20">
        <v>29</v>
      </c>
      <c r="H79" s="20">
        <v>38</v>
      </c>
      <c r="I79" s="20">
        <v>25</v>
      </c>
      <c r="J79" s="20">
        <v>39</v>
      </c>
      <c r="K79" s="20">
        <v>35</v>
      </c>
      <c r="L79" s="20">
        <v>22</v>
      </c>
      <c r="M79" s="20">
        <v>30</v>
      </c>
      <c r="N79" s="20">
        <v>60</v>
      </c>
      <c r="O79" s="22">
        <f t="shared" si="7"/>
        <v>423</v>
      </c>
      <c r="P79" s="23">
        <f t="shared" si="8"/>
        <v>0.006740810267704188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20">
        <f>77+1</f>
        <v>78</v>
      </c>
      <c r="D80" s="20">
        <v>80</v>
      </c>
      <c r="E80" s="20">
        <f>59+7+9</f>
        <v>75</v>
      </c>
      <c r="F80" s="21">
        <v>127</v>
      </c>
      <c r="G80" s="20">
        <v>130</v>
      </c>
      <c r="H80" s="20">
        <v>63</v>
      </c>
      <c r="I80" s="20">
        <v>131</v>
      </c>
      <c r="J80" s="20">
        <v>130</v>
      </c>
      <c r="K80" s="20">
        <v>87</v>
      </c>
      <c r="L80" s="20">
        <f>129+2</f>
        <v>131</v>
      </c>
      <c r="M80" s="20">
        <v>124</v>
      </c>
      <c r="N80" s="20">
        <f>194+1+1</f>
        <v>196</v>
      </c>
      <c r="O80" s="22">
        <f t="shared" si="7"/>
        <v>1352</v>
      </c>
      <c r="P80" s="23">
        <f t="shared" si="8"/>
        <v>0.021545095701976505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20">
        <v>16</v>
      </c>
      <c r="D81" s="20">
        <v>22</v>
      </c>
      <c r="E81" s="20">
        <v>13</v>
      </c>
      <c r="F81" s="21">
        <v>26</v>
      </c>
      <c r="G81" s="20">
        <v>26</v>
      </c>
      <c r="H81" s="20">
        <v>22</v>
      </c>
      <c r="I81" s="20">
        <v>30</v>
      </c>
      <c r="J81" s="20">
        <v>35</v>
      </c>
      <c r="K81" s="20">
        <v>33</v>
      </c>
      <c r="L81" s="20">
        <v>24</v>
      </c>
      <c r="M81" s="20">
        <v>20</v>
      </c>
      <c r="N81" s="20">
        <v>36</v>
      </c>
      <c r="O81" s="22">
        <f t="shared" si="7"/>
        <v>303</v>
      </c>
      <c r="P81" s="23">
        <f t="shared" si="8"/>
        <v>0.004828523666937042</v>
      </c>
      <c r="R81" s="4"/>
      <c r="S81" s="4"/>
      <c r="T81" s="4"/>
      <c r="U81" s="7"/>
    </row>
    <row r="82" spans="1:21" ht="12.75" customHeight="1" thickBot="1">
      <c r="A82" s="18">
        <v>38</v>
      </c>
      <c r="B82" s="63" t="s">
        <v>88</v>
      </c>
      <c r="C82" s="50">
        <v>0</v>
      </c>
      <c r="D82" s="50">
        <v>0</v>
      </c>
      <c r="E82" s="50">
        <v>0</v>
      </c>
      <c r="F82" s="51">
        <v>0</v>
      </c>
      <c r="G82" s="50">
        <v>0</v>
      </c>
      <c r="H82" s="50">
        <v>0</v>
      </c>
      <c r="I82" s="50">
        <v>0</v>
      </c>
      <c r="J82" s="51">
        <v>0</v>
      </c>
      <c r="K82" s="50">
        <v>0</v>
      </c>
      <c r="L82" s="50">
        <v>0</v>
      </c>
      <c r="M82" s="50">
        <v>0</v>
      </c>
      <c r="N82" s="52">
        <v>0</v>
      </c>
      <c r="O82" s="41">
        <f t="shared" si="7"/>
        <v>0</v>
      </c>
      <c r="P82" s="53">
        <f t="shared" si="8"/>
        <v>0</v>
      </c>
      <c r="R82" s="4"/>
      <c r="S82" s="4"/>
      <c r="T82" s="4"/>
      <c r="U82" s="7"/>
    </row>
    <row r="83" spans="1:21" ht="16.5" customHeight="1" thickBot="1" thickTop="1">
      <c r="A83" s="59" t="s">
        <v>29</v>
      </c>
      <c r="B83" s="59" t="s">
        <v>30</v>
      </c>
      <c r="C83" s="60">
        <f aca="true" t="shared" si="9" ref="C83:I83">SUM(C84:C117)</f>
        <v>28600</v>
      </c>
      <c r="D83" s="60">
        <f t="shared" si="9"/>
        <v>25106</v>
      </c>
      <c r="E83" s="60">
        <f t="shared" si="9"/>
        <v>35233</v>
      </c>
      <c r="F83" s="60">
        <f t="shared" si="9"/>
        <v>34256</v>
      </c>
      <c r="G83" s="60">
        <f t="shared" si="9"/>
        <v>38283</v>
      </c>
      <c r="H83" s="60">
        <f t="shared" si="9"/>
        <v>35845</v>
      </c>
      <c r="I83" s="60">
        <f t="shared" si="9"/>
        <v>37083</v>
      </c>
      <c r="J83" s="60">
        <f>SUM(J84:J117)</f>
        <v>34454</v>
      </c>
      <c r="K83" s="60">
        <f>SUM(K84:K117)</f>
        <v>37950</v>
      </c>
      <c r="L83" s="60">
        <f>SUM(L84:L117)</f>
        <v>34929</v>
      </c>
      <c r="M83" s="60">
        <f>SUM(M84:M117)</f>
        <v>34290</v>
      </c>
      <c r="N83" s="60">
        <f>SUM(N84:N117)</f>
        <v>39233</v>
      </c>
      <c r="O83" s="41">
        <f t="shared" si="7"/>
        <v>415262</v>
      </c>
      <c r="P83" s="61">
        <f t="shared" si="8"/>
        <v>6.617499653398054</v>
      </c>
      <c r="R83" s="4"/>
      <c r="S83" s="4"/>
      <c r="T83" s="4"/>
      <c r="U83" s="7"/>
    </row>
    <row r="84" spans="1:21" ht="16.5" customHeight="1" thickTop="1">
      <c r="A84" s="62">
        <v>1</v>
      </c>
      <c r="B84" s="19" t="s">
        <v>89</v>
      </c>
      <c r="C84" s="44">
        <f>962+7+4+1</f>
        <v>974</v>
      </c>
      <c r="D84" s="44">
        <v>578</v>
      </c>
      <c r="E84" s="44">
        <f>734+4+5+5+6</f>
        <v>754</v>
      </c>
      <c r="F84" s="45">
        <f>630+1</f>
        <v>631</v>
      </c>
      <c r="G84" s="44">
        <v>760</v>
      </c>
      <c r="H84" s="44">
        <v>511</v>
      </c>
      <c r="I84" s="44">
        <v>601</v>
      </c>
      <c r="J84" s="44">
        <v>550</v>
      </c>
      <c r="K84" s="44">
        <f>624</f>
        <v>624</v>
      </c>
      <c r="L84" s="44">
        <v>652</v>
      </c>
      <c r="M84" s="44">
        <v>504</v>
      </c>
      <c r="N84" s="44">
        <f>573+8+7+5</f>
        <v>593</v>
      </c>
      <c r="O84" s="46">
        <f t="shared" si="7"/>
        <v>7732</v>
      </c>
      <c r="P84" s="47">
        <f t="shared" si="8"/>
        <v>0.12321499997609642</v>
      </c>
      <c r="R84" s="4"/>
      <c r="S84" s="4"/>
      <c r="T84" s="4"/>
      <c r="U84" s="7"/>
    </row>
    <row r="85" spans="1:21" ht="16.5" customHeight="1">
      <c r="A85" s="19">
        <v>2</v>
      </c>
      <c r="B85" s="62" t="s">
        <v>90</v>
      </c>
      <c r="C85" s="20">
        <v>17569</v>
      </c>
      <c r="D85" s="20">
        <v>15056</v>
      </c>
      <c r="E85" s="20">
        <f>21690+416+509+23+10-40</f>
        <v>22608</v>
      </c>
      <c r="F85" s="45">
        <f>22195-25</f>
        <v>22170</v>
      </c>
      <c r="G85" s="44">
        <f>24835</f>
        <v>24835</v>
      </c>
      <c r="H85" s="44">
        <f>26086</f>
        <v>26086</v>
      </c>
      <c r="I85" s="44">
        <f>26304-15</f>
        <v>26289</v>
      </c>
      <c r="J85" s="44">
        <f>23712</f>
        <v>23712</v>
      </c>
      <c r="K85" s="44">
        <f>26096+1+111</f>
        <v>26208</v>
      </c>
      <c r="L85" s="44">
        <f>22284+206+630</f>
        <v>23120</v>
      </c>
      <c r="M85" s="44">
        <f>22497+408</f>
        <v>22905</v>
      </c>
      <c r="N85" s="44">
        <v>25953</v>
      </c>
      <c r="O85" s="22">
        <f t="shared" si="7"/>
        <v>276511</v>
      </c>
      <c r="P85" s="47">
        <f t="shared" si="8"/>
        <v>4.406402335539369</v>
      </c>
      <c r="Q85" s="7">
        <f>251142-O85</f>
        <v>-25369</v>
      </c>
      <c r="R85" s="4"/>
      <c r="S85" s="3"/>
      <c r="T85" s="4"/>
      <c r="U85" s="7"/>
    </row>
    <row r="86" spans="1:21" ht="16.5" customHeight="1">
      <c r="A86" s="62">
        <v>3</v>
      </c>
      <c r="B86" s="19" t="s">
        <v>127</v>
      </c>
      <c r="C86" s="20">
        <v>2</v>
      </c>
      <c r="D86" s="20">
        <v>1</v>
      </c>
      <c r="E86" s="20">
        <v>2</v>
      </c>
      <c r="F86" s="21">
        <v>7</v>
      </c>
      <c r="G86" s="20">
        <v>4</v>
      </c>
      <c r="H86" s="20">
        <v>2</v>
      </c>
      <c r="I86" s="20">
        <v>3</v>
      </c>
      <c r="J86" s="21">
        <v>8</v>
      </c>
      <c r="K86" s="20">
        <v>4</v>
      </c>
      <c r="L86" s="20">
        <v>4</v>
      </c>
      <c r="M86" s="20">
        <v>9</v>
      </c>
      <c r="N86" s="20">
        <v>5</v>
      </c>
      <c r="O86" s="22">
        <f t="shared" si="7"/>
        <v>51</v>
      </c>
      <c r="P86" s="23">
        <f t="shared" si="8"/>
        <v>0.000812721805326037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20">
        <f>1566+13+23</f>
        <v>1602</v>
      </c>
      <c r="D87" s="20">
        <v>1215</v>
      </c>
      <c r="E87" s="20">
        <f>1603+1+1+14+10</f>
        <v>1629</v>
      </c>
      <c r="F87" s="21">
        <v>1733</v>
      </c>
      <c r="G87" s="20">
        <v>2141</v>
      </c>
      <c r="H87" s="20">
        <v>1791</v>
      </c>
      <c r="I87" s="20">
        <v>1793</v>
      </c>
      <c r="J87" s="20">
        <v>2069</v>
      </c>
      <c r="K87" s="20">
        <v>2046</v>
      </c>
      <c r="L87" s="20">
        <f>1925+8</f>
        <v>1933</v>
      </c>
      <c r="M87" s="20">
        <v>1650</v>
      </c>
      <c r="N87" s="20">
        <f>2330+4+9+20+13</f>
        <v>2376</v>
      </c>
      <c r="O87" s="22">
        <f t="shared" si="7"/>
        <v>21978</v>
      </c>
      <c r="P87" s="23">
        <f t="shared" si="8"/>
        <v>0.35023529093050276</v>
      </c>
      <c r="Q87" s="7"/>
      <c r="R87" s="4"/>
      <c r="S87" s="4"/>
      <c r="T87" s="4"/>
      <c r="U87" s="7"/>
    </row>
    <row r="88" spans="1:21" ht="16.5" customHeight="1">
      <c r="A88" s="62">
        <v>5</v>
      </c>
      <c r="B88" s="19" t="s">
        <v>92</v>
      </c>
      <c r="C88" s="20">
        <v>8</v>
      </c>
      <c r="D88" s="20">
        <v>4</v>
      </c>
      <c r="E88" s="20">
        <v>1</v>
      </c>
      <c r="F88" s="21">
        <v>5</v>
      </c>
      <c r="G88" s="20">
        <v>8</v>
      </c>
      <c r="H88" s="20">
        <v>5</v>
      </c>
      <c r="I88" s="20">
        <v>2</v>
      </c>
      <c r="J88" s="20">
        <v>3</v>
      </c>
      <c r="K88" s="20">
        <v>23</v>
      </c>
      <c r="L88" s="20">
        <v>22</v>
      </c>
      <c r="M88" s="20">
        <v>11</v>
      </c>
      <c r="N88" s="20">
        <v>6</v>
      </c>
      <c r="O88" s="22">
        <f t="shared" si="7"/>
        <v>98</v>
      </c>
      <c r="P88" s="23">
        <f t="shared" si="8"/>
        <v>0.0015617007239598355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20">
        <f>2+1</f>
        <v>3</v>
      </c>
      <c r="D89" s="20">
        <v>6</v>
      </c>
      <c r="E89" s="20">
        <f>7+3+1</f>
        <v>11</v>
      </c>
      <c r="F89" s="21">
        <v>8</v>
      </c>
      <c r="G89" s="20">
        <v>9</v>
      </c>
      <c r="H89" s="20">
        <v>3</v>
      </c>
      <c r="I89" s="20">
        <v>5</v>
      </c>
      <c r="J89" s="20">
        <v>5</v>
      </c>
      <c r="K89" s="20">
        <f>18+1</f>
        <v>19</v>
      </c>
      <c r="L89" s="20">
        <v>4</v>
      </c>
      <c r="M89" s="20">
        <v>10</v>
      </c>
      <c r="N89" s="20">
        <f>4+1+2</f>
        <v>7</v>
      </c>
      <c r="O89" s="22">
        <f t="shared" si="7"/>
        <v>90</v>
      </c>
      <c r="P89" s="23">
        <f t="shared" si="8"/>
        <v>0.0014342149505753594</v>
      </c>
      <c r="R89" s="4"/>
      <c r="S89" s="4"/>
      <c r="T89" s="4"/>
      <c r="U89" s="7"/>
    </row>
    <row r="90" spans="1:21" ht="16.5" customHeight="1">
      <c r="A90" s="62">
        <v>7</v>
      </c>
      <c r="B90" s="19" t="s">
        <v>138</v>
      </c>
      <c r="C90" s="20">
        <v>30</v>
      </c>
      <c r="D90" s="20">
        <v>20</v>
      </c>
      <c r="E90" s="20">
        <v>22</v>
      </c>
      <c r="F90" s="21">
        <v>26</v>
      </c>
      <c r="G90" s="20">
        <v>29</v>
      </c>
      <c r="H90" s="20">
        <v>35</v>
      </c>
      <c r="I90" s="20">
        <v>20</v>
      </c>
      <c r="J90" s="20">
        <v>30</v>
      </c>
      <c r="K90" s="20">
        <v>42</v>
      </c>
      <c r="L90" s="20">
        <v>18</v>
      </c>
      <c r="M90" s="20">
        <v>17</v>
      </c>
      <c r="N90" s="20">
        <f>32+2</f>
        <v>34</v>
      </c>
      <c r="O90" s="22">
        <f t="shared" si="7"/>
        <v>323</v>
      </c>
      <c r="P90" s="23">
        <f t="shared" si="8"/>
        <v>0.005147238100398233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20">
        <f>47+2+1</f>
        <v>50</v>
      </c>
      <c r="D91" s="20">
        <v>58</v>
      </c>
      <c r="E91" s="20">
        <v>47</v>
      </c>
      <c r="F91" s="21">
        <v>50</v>
      </c>
      <c r="G91" s="20">
        <v>54</v>
      </c>
      <c r="H91" s="20">
        <v>34</v>
      </c>
      <c r="I91" s="20">
        <v>50</v>
      </c>
      <c r="J91" s="20">
        <v>45</v>
      </c>
      <c r="K91" s="20">
        <v>93</v>
      </c>
      <c r="L91" s="20">
        <f>59+1</f>
        <v>60</v>
      </c>
      <c r="M91" s="20">
        <v>54</v>
      </c>
      <c r="N91" s="20">
        <v>63</v>
      </c>
      <c r="O91" s="22">
        <f t="shared" si="7"/>
        <v>658</v>
      </c>
      <c r="P91" s="23">
        <f t="shared" si="8"/>
        <v>0.010485704860873182</v>
      </c>
      <c r="R91" s="4"/>
      <c r="S91" s="4"/>
      <c r="T91" s="4"/>
      <c r="U91" s="7"/>
    </row>
    <row r="92" spans="1:21" ht="16.5" customHeight="1">
      <c r="A92" s="62">
        <v>9</v>
      </c>
      <c r="B92" s="19" t="s">
        <v>155</v>
      </c>
      <c r="C92" s="20">
        <v>9</v>
      </c>
      <c r="D92" s="20">
        <v>11</v>
      </c>
      <c r="E92" s="20">
        <v>4</v>
      </c>
      <c r="F92" s="21">
        <v>18</v>
      </c>
      <c r="G92" s="20">
        <v>48</v>
      </c>
      <c r="H92" s="20">
        <v>50</v>
      </c>
      <c r="I92" s="20">
        <v>39</v>
      </c>
      <c r="J92" s="20">
        <v>60</v>
      </c>
      <c r="K92" s="20">
        <v>77</v>
      </c>
      <c r="L92" s="20">
        <v>9</v>
      </c>
      <c r="M92" s="20">
        <v>33</v>
      </c>
      <c r="N92" s="20">
        <v>74</v>
      </c>
      <c r="O92" s="22">
        <f t="shared" si="7"/>
        <v>432</v>
      </c>
      <c r="P92" s="23">
        <f t="shared" si="8"/>
        <v>0.006884231762761725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20">
        <f>817+1+1</f>
        <v>819</v>
      </c>
      <c r="D93" s="20">
        <v>1163</v>
      </c>
      <c r="E93" s="20">
        <f>735+1+2+3+5</f>
        <v>746</v>
      </c>
      <c r="F93" s="21">
        <v>725</v>
      </c>
      <c r="G93" s="20">
        <v>723</v>
      </c>
      <c r="H93" s="20">
        <v>528</v>
      </c>
      <c r="I93" s="20">
        <v>771</v>
      </c>
      <c r="J93" s="20">
        <v>654</v>
      </c>
      <c r="K93" s="20">
        <v>766</v>
      </c>
      <c r="L93" s="20">
        <f>651+3</f>
        <v>654</v>
      </c>
      <c r="M93" s="20">
        <v>490</v>
      </c>
      <c r="N93" s="20">
        <f>543+5+4+5+6</f>
        <v>563</v>
      </c>
      <c r="O93" s="22">
        <f t="shared" si="7"/>
        <v>8602</v>
      </c>
      <c r="P93" s="23">
        <f t="shared" si="8"/>
        <v>0.1370790778316582</v>
      </c>
      <c r="R93" s="4"/>
      <c r="S93" s="4"/>
      <c r="T93" s="4"/>
      <c r="U93" s="7"/>
    </row>
    <row r="94" spans="1:21" ht="16.5" customHeight="1">
      <c r="A94" s="62">
        <v>11</v>
      </c>
      <c r="B94" s="19" t="s">
        <v>206</v>
      </c>
      <c r="C94" s="20">
        <v>7</v>
      </c>
      <c r="D94" s="20">
        <v>9</v>
      </c>
      <c r="E94" s="20">
        <v>16</v>
      </c>
      <c r="F94" s="21">
        <v>11</v>
      </c>
      <c r="G94" s="20">
        <v>5</v>
      </c>
      <c r="H94" s="20">
        <v>14</v>
      </c>
      <c r="I94" s="20">
        <v>16</v>
      </c>
      <c r="J94" s="20">
        <v>12</v>
      </c>
      <c r="K94" s="20">
        <v>6</v>
      </c>
      <c r="L94" s="20">
        <v>23</v>
      </c>
      <c r="M94" s="20">
        <v>4</v>
      </c>
      <c r="N94" s="20">
        <v>13</v>
      </c>
      <c r="O94" s="22">
        <f t="shared" si="7"/>
        <v>136</v>
      </c>
      <c r="P94" s="23">
        <f t="shared" si="8"/>
        <v>0.0021672581475360984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207</v>
      </c>
      <c r="C95" s="20">
        <v>14</v>
      </c>
      <c r="D95" s="20">
        <v>9</v>
      </c>
      <c r="E95" s="20">
        <v>11</v>
      </c>
      <c r="F95" s="21">
        <v>16</v>
      </c>
      <c r="G95" s="20">
        <v>15</v>
      </c>
      <c r="H95" s="20">
        <v>22</v>
      </c>
      <c r="I95" s="20">
        <v>18</v>
      </c>
      <c r="J95" s="20">
        <v>29</v>
      </c>
      <c r="K95" s="20">
        <v>29</v>
      </c>
      <c r="L95" s="20">
        <v>30</v>
      </c>
      <c r="M95" s="20">
        <v>18</v>
      </c>
      <c r="N95" s="20">
        <v>24</v>
      </c>
      <c r="O95" s="22">
        <f t="shared" si="7"/>
        <v>235</v>
      </c>
      <c r="P95" s="23">
        <f t="shared" si="8"/>
        <v>0.0037448945931689934</v>
      </c>
      <c r="R95" s="4"/>
      <c r="S95" s="4"/>
      <c r="T95" s="4"/>
      <c r="U95" s="7"/>
    </row>
    <row r="96" spans="1:21" ht="16.5" customHeight="1">
      <c r="A96" s="62">
        <v>13</v>
      </c>
      <c r="B96" s="19" t="s">
        <v>160</v>
      </c>
      <c r="C96" s="20">
        <v>10</v>
      </c>
      <c r="D96" s="20">
        <v>18</v>
      </c>
      <c r="E96" s="20">
        <v>11</v>
      </c>
      <c r="F96" s="21">
        <v>15</v>
      </c>
      <c r="G96" s="20">
        <v>32</v>
      </c>
      <c r="H96" s="20">
        <v>8</v>
      </c>
      <c r="I96" s="20">
        <v>19</v>
      </c>
      <c r="J96" s="20">
        <v>23</v>
      </c>
      <c r="K96" s="20">
        <v>31</v>
      </c>
      <c r="L96" s="20">
        <v>22</v>
      </c>
      <c r="M96" s="20">
        <v>31</v>
      </c>
      <c r="N96" s="20">
        <v>15</v>
      </c>
      <c r="O96" s="22">
        <f t="shared" si="7"/>
        <v>235</v>
      </c>
      <c r="P96" s="23">
        <f t="shared" si="8"/>
        <v>0.0037448945931689934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20">
        <v>61</v>
      </c>
      <c r="D97" s="20">
        <v>68</v>
      </c>
      <c r="E97" s="20">
        <v>59</v>
      </c>
      <c r="F97" s="21">
        <v>82</v>
      </c>
      <c r="G97" s="20">
        <v>105</v>
      </c>
      <c r="H97" s="20">
        <v>68</v>
      </c>
      <c r="I97" s="20">
        <v>88</v>
      </c>
      <c r="J97" s="20">
        <v>124</v>
      </c>
      <c r="K97" s="20">
        <v>83</v>
      </c>
      <c r="L97" s="20">
        <v>109</v>
      </c>
      <c r="M97" s="20">
        <v>94</v>
      </c>
      <c r="N97" s="20">
        <f>94+2</f>
        <v>96</v>
      </c>
      <c r="O97" s="22">
        <f t="shared" si="7"/>
        <v>1037</v>
      </c>
      <c r="P97" s="23">
        <f t="shared" si="8"/>
        <v>0.01652534337496275</v>
      </c>
      <c r="R97" s="4"/>
      <c r="S97" s="4"/>
      <c r="T97" s="4"/>
      <c r="U97" s="7"/>
    </row>
    <row r="98" spans="1:21" ht="16.5" customHeight="1">
      <c r="A98" s="62">
        <v>15</v>
      </c>
      <c r="B98" s="19" t="s">
        <v>169</v>
      </c>
      <c r="C98" s="20">
        <f>20+2</f>
        <v>22</v>
      </c>
      <c r="D98" s="20">
        <v>16</v>
      </c>
      <c r="E98" s="20">
        <v>20</v>
      </c>
      <c r="F98" s="21">
        <v>28</v>
      </c>
      <c r="G98" s="20">
        <v>33</v>
      </c>
      <c r="H98" s="20">
        <v>34</v>
      </c>
      <c r="I98" s="20">
        <v>39</v>
      </c>
      <c r="J98" s="20">
        <v>12</v>
      </c>
      <c r="K98" s="20">
        <v>28</v>
      </c>
      <c r="L98" s="20">
        <v>27</v>
      </c>
      <c r="M98" s="20">
        <v>28</v>
      </c>
      <c r="N98" s="20">
        <f>48+1+4</f>
        <v>53</v>
      </c>
      <c r="O98" s="22">
        <f t="shared" si="7"/>
        <v>340</v>
      </c>
      <c r="P98" s="23">
        <f t="shared" si="8"/>
        <v>0.005418145368840246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20">
        <v>7</v>
      </c>
      <c r="D99" s="20">
        <v>8</v>
      </c>
      <c r="E99" s="20">
        <v>3</v>
      </c>
      <c r="F99" s="21">
        <v>5</v>
      </c>
      <c r="G99" s="20">
        <v>4</v>
      </c>
      <c r="H99" s="20">
        <v>6</v>
      </c>
      <c r="I99" s="20">
        <v>10</v>
      </c>
      <c r="J99" s="20">
        <v>0</v>
      </c>
      <c r="K99" s="20">
        <v>0</v>
      </c>
      <c r="L99" s="20">
        <v>4</v>
      </c>
      <c r="M99" s="20">
        <v>6</v>
      </c>
      <c r="N99" s="20">
        <v>7</v>
      </c>
      <c r="O99" s="22">
        <f t="shared" si="7"/>
        <v>60</v>
      </c>
      <c r="P99" s="23">
        <f t="shared" si="8"/>
        <v>0.0009561433003835727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20">
        <f>12+7</f>
        <v>19</v>
      </c>
      <c r="D100" s="20">
        <v>14</v>
      </c>
      <c r="E100" s="20">
        <f>15+14</f>
        <v>29</v>
      </c>
      <c r="F100" s="21">
        <v>9</v>
      </c>
      <c r="G100" s="20">
        <v>7</v>
      </c>
      <c r="H100" s="20">
        <v>10</v>
      </c>
      <c r="I100" s="20">
        <v>23</v>
      </c>
      <c r="J100" s="20">
        <v>17</v>
      </c>
      <c r="K100" s="20">
        <v>23</v>
      </c>
      <c r="L100" s="20">
        <f>12+5</f>
        <v>17</v>
      </c>
      <c r="M100" s="20">
        <v>19</v>
      </c>
      <c r="N100" s="20">
        <f>8+17</f>
        <v>25</v>
      </c>
      <c r="O100" s="22">
        <f t="shared" si="7"/>
        <v>212</v>
      </c>
      <c r="P100" s="23">
        <f t="shared" si="8"/>
        <v>0.0033783729946886237</v>
      </c>
      <c r="R100" s="4"/>
      <c r="S100" s="4"/>
      <c r="T100" s="4"/>
      <c r="U100" s="7"/>
    </row>
    <row r="101" spans="1:21" ht="16.5" customHeight="1">
      <c r="A101" s="62">
        <v>18</v>
      </c>
      <c r="B101" s="19" t="s">
        <v>171</v>
      </c>
      <c r="C101" s="20">
        <v>1</v>
      </c>
      <c r="D101" s="20">
        <v>6</v>
      </c>
      <c r="E101" s="20">
        <v>6</v>
      </c>
      <c r="F101" s="21">
        <v>6</v>
      </c>
      <c r="G101" s="20">
        <v>8</v>
      </c>
      <c r="H101" s="20">
        <v>5</v>
      </c>
      <c r="I101" s="20">
        <v>15</v>
      </c>
      <c r="J101" s="20">
        <v>12</v>
      </c>
      <c r="K101" s="20">
        <v>9</v>
      </c>
      <c r="L101" s="20">
        <v>8</v>
      </c>
      <c r="M101" s="20">
        <v>3</v>
      </c>
      <c r="N101" s="20">
        <v>5</v>
      </c>
      <c r="O101" s="22">
        <f t="shared" si="7"/>
        <v>84</v>
      </c>
      <c r="P101" s="23">
        <f aca="true" t="shared" si="10" ref="P101:P132">O101/$O$196*100</f>
        <v>0.001338600620537002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20">
        <v>5856</v>
      </c>
      <c r="D102" s="20">
        <v>5640</v>
      </c>
      <c r="E102" s="20">
        <f>6702+146+158+16+12-35</f>
        <v>6999</v>
      </c>
      <c r="F102" s="21">
        <f>6569-6</f>
        <v>6563</v>
      </c>
      <c r="G102" s="20">
        <f>7597+1</f>
        <v>7598</v>
      </c>
      <c r="H102" s="20">
        <f>4935+4</f>
        <v>4939</v>
      </c>
      <c r="I102" s="20">
        <f>5381-1</f>
        <v>5380</v>
      </c>
      <c r="J102" s="20">
        <f>5382+25</f>
        <v>5407</v>
      </c>
      <c r="K102" s="20">
        <f>5749+24</f>
        <v>5773</v>
      </c>
      <c r="L102" s="20">
        <f>6062+66+66</f>
        <v>6194</v>
      </c>
      <c r="M102" s="20">
        <f>6167+78</f>
        <v>6245</v>
      </c>
      <c r="N102" s="20">
        <v>7133</v>
      </c>
      <c r="O102" s="22">
        <f t="shared" si="7"/>
        <v>73727</v>
      </c>
      <c r="P102" s="23">
        <f t="shared" si="10"/>
        <v>1.1748929517896614</v>
      </c>
      <c r="Q102" s="7">
        <f>66594-O102</f>
        <v>-7133</v>
      </c>
      <c r="R102" s="4"/>
      <c r="S102" s="4"/>
      <c r="T102" s="4"/>
      <c r="U102" s="7"/>
    </row>
    <row r="103" spans="1:21" ht="16.5" customHeight="1">
      <c r="A103" s="62">
        <v>20</v>
      </c>
      <c r="B103" s="19" t="s">
        <v>149</v>
      </c>
      <c r="C103" s="20">
        <f>433+3+4+3</f>
        <v>443</v>
      </c>
      <c r="D103" s="20">
        <v>257</v>
      </c>
      <c r="E103" s="20">
        <v>406</v>
      </c>
      <c r="F103" s="21">
        <v>392</v>
      </c>
      <c r="G103" s="20">
        <v>427</v>
      </c>
      <c r="H103" s="20">
        <v>348</v>
      </c>
      <c r="I103" s="20">
        <v>349</v>
      </c>
      <c r="J103" s="20">
        <v>445</v>
      </c>
      <c r="K103" s="20">
        <v>452</v>
      </c>
      <c r="L103" s="20">
        <f>482+1</f>
        <v>483</v>
      </c>
      <c r="M103" s="20">
        <v>587</v>
      </c>
      <c r="N103" s="20">
        <f>578+2+5</f>
        <v>585</v>
      </c>
      <c r="O103" s="22">
        <f t="shared" si="7"/>
        <v>5174</v>
      </c>
      <c r="P103" s="23">
        <f t="shared" si="10"/>
        <v>0.0824514239364101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20">
        <v>1</v>
      </c>
      <c r="D104" s="20">
        <v>0</v>
      </c>
      <c r="E104" s="20">
        <v>0</v>
      </c>
      <c r="F104" s="21"/>
      <c r="G104" s="20">
        <v>2</v>
      </c>
      <c r="H104" s="20">
        <v>2</v>
      </c>
      <c r="I104" s="20">
        <v>0</v>
      </c>
      <c r="J104" s="20">
        <v>1</v>
      </c>
      <c r="K104" s="20">
        <v>0</v>
      </c>
      <c r="L104" s="20">
        <v>0</v>
      </c>
      <c r="M104" s="20">
        <v>0</v>
      </c>
      <c r="N104" s="20">
        <v>0</v>
      </c>
      <c r="O104" s="22">
        <f t="shared" si="7"/>
        <v>6</v>
      </c>
      <c r="P104" s="23">
        <f t="shared" si="10"/>
        <v>9.561433003835728E-05</v>
      </c>
      <c r="R104" s="4"/>
      <c r="S104" s="4"/>
      <c r="T104" s="4"/>
      <c r="U104" s="7"/>
    </row>
    <row r="105" spans="1:21" ht="16.5" customHeight="1">
      <c r="A105" s="62">
        <v>22</v>
      </c>
      <c r="B105" s="19" t="s">
        <v>62</v>
      </c>
      <c r="C105" s="20">
        <f>575+27+24+6+7</f>
        <v>639</v>
      </c>
      <c r="D105" s="20">
        <v>575</v>
      </c>
      <c r="E105" s="20">
        <f>792+12+12+22+9</f>
        <v>847</v>
      </c>
      <c r="F105" s="21">
        <v>1117</v>
      </c>
      <c r="G105" s="20">
        <v>887</v>
      </c>
      <c r="H105" s="20">
        <v>902</v>
      </c>
      <c r="I105" s="20">
        <v>1038</v>
      </c>
      <c r="J105" s="20">
        <v>648</v>
      </c>
      <c r="K105" s="20">
        <v>1067</v>
      </c>
      <c r="L105" s="20">
        <f>992+14</f>
        <v>1006</v>
      </c>
      <c r="M105" s="20">
        <v>1160</v>
      </c>
      <c r="N105" s="20">
        <f>939+38+50+40+31</f>
        <v>1098</v>
      </c>
      <c r="O105" s="22">
        <f t="shared" si="7"/>
        <v>10984</v>
      </c>
      <c r="P105" s="23">
        <f t="shared" si="10"/>
        <v>0.17503796685688608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20">
        <f>3+1+1</f>
        <v>5</v>
      </c>
      <c r="D106" s="20">
        <v>8</v>
      </c>
      <c r="E106" s="20">
        <f>2+3</f>
        <v>5</v>
      </c>
      <c r="F106" s="21">
        <v>9</v>
      </c>
      <c r="G106" s="20">
        <v>8</v>
      </c>
      <c r="H106" s="20">
        <v>4</v>
      </c>
      <c r="I106" s="20">
        <v>12</v>
      </c>
      <c r="J106" s="20">
        <v>7</v>
      </c>
      <c r="K106" s="20">
        <v>13</v>
      </c>
      <c r="L106" s="20">
        <v>7</v>
      </c>
      <c r="M106" s="20">
        <v>10</v>
      </c>
      <c r="N106" s="20">
        <f>9+4+1</f>
        <v>14</v>
      </c>
      <c r="O106" s="22">
        <f t="shared" si="7"/>
        <v>102</v>
      </c>
      <c r="P106" s="23">
        <f t="shared" si="10"/>
        <v>0.001625443610652074</v>
      </c>
      <c r="R106" s="4"/>
      <c r="S106" s="4"/>
      <c r="T106" s="4"/>
      <c r="U106" s="7"/>
    </row>
    <row r="107" spans="1:21" ht="16.5" customHeight="1">
      <c r="A107" s="62">
        <v>24</v>
      </c>
      <c r="B107" s="19" t="s">
        <v>191</v>
      </c>
      <c r="C107" s="20">
        <v>24</v>
      </c>
      <c r="D107" s="20">
        <v>24</v>
      </c>
      <c r="E107" s="20">
        <v>24</v>
      </c>
      <c r="F107" s="21">
        <v>26</v>
      </c>
      <c r="G107" s="20">
        <v>31</v>
      </c>
      <c r="H107" s="20">
        <v>18</v>
      </c>
      <c r="I107" s="20">
        <v>32</v>
      </c>
      <c r="J107" s="20">
        <v>30</v>
      </c>
      <c r="K107" s="20">
        <v>32</v>
      </c>
      <c r="L107" s="20">
        <v>50</v>
      </c>
      <c r="M107" s="20">
        <v>27</v>
      </c>
      <c r="N107" s="20">
        <v>21</v>
      </c>
      <c r="O107" s="22">
        <f t="shared" si="7"/>
        <v>339</v>
      </c>
      <c r="P107" s="23">
        <f t="shared" si="10"/>
        <v>0.005402209647167186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20">
        <v>34</v>
      </c>
      <c r="D108" s="20">
        <v>8</v>
      </c>
      <c r="E108" s="20">
        <v>17</v>
      </c>
      <c r="F108" s="21">
        <v>10</v>
      </c>
      <c r="G108" s="20">
        <v>8</v>
      </c>
      <c r="H108" s="20">
        <v>14</v>
      </c>
      <c r="I108" s="20">
        <v>17</v>
      </c>
      <c r="J108" s="20">
        <v>27</v>
      </c>
      <c r="K108" s="20">
        <v>22</v>
      </c>
      <c r="L108" s="20">
        <v>27</v>
      </c>
      <c r="M108" s="20">
        <v>29</v>
      </c>
      <c r="N108" s="20">
        <v>14</v>
      </c>
      <c r="O108" s="22">
        <f t="shared" si="7"/>
        <v>227</v>
      </c>
      <c r="P108" s="23">
        <f t="shared" si="10"/>
        <v>0.003617408819784517</v>
      </c>
      <c r="R108" s="4"/>
      <c r="S108" s="4"/>
      <c r="T108" s="4"/>
      <c r="U108" s="7"/>
    </row>
    <row r="109" spans="1:21" ht="16.5" customHeight="1">
      <c r="A109" s="62">
        <v>26</v>
      </c>
      <c r="B109" s="19" t="s">
        <v>64</v>
      </c>
      <c r="C109" s="20">
        <f>140+1+2+1</f>
        <v>144</v>
      </c>
      <c r="D109" s="20">
        <v>134</v>
      </c>
      <c r="E109" s="20">
        <f>123+3+12+14</f>
        <v>152</v>
      </c>
      <c r="F109" s="21">
        <v>141</v>
      </c>
      <c r="G109" s="20">
        <v>207</v>
      </c>
      <c r="H109" s="20">
        <v>139</v>
      </c>
      <c r="I109" s="20">
        <v>167</v>
      </c>
      <c r="J109" s="20">
        <v>210</v>
      </c>
      <c r="K109" s="20">
        <v>213</v>
      </c>
      <c r="L109" s="20">
        <f>199+2</f>
        <v>201</v>
      </c>
      <c r="M109" s="20">
        <v>142</v>
      </c>
      <c r="N109" s="20">
        <f>173+21+26</f>
        <v>220</v>
      </c>
      <c r="O109" s="22">
        <f t="shared" si="7"/>
        <v>2070</v>
      </c>
      <c r="P109" s="23">
        <f t="shared" si="10"/>
        <v>0.03298694386323326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20">
        <v>0</v>
      </c>
      <c r="D110" s="20">
        <v>3</v>
      </c>
      <c r="E110" s="20">
        <v>7</v>
      </c>
      <c r="F110" s="21">
        <v>5</v>
      </c>
      <c r="G110" s="20">
        <v>6</v>
      </c>
      <c r="H110" s="20">
        <v>5</v>
      </c>
      <c r="I110" s="20">
        <v>12</v>
      </c>
      <c r="J110" s="20">
        <v>15</v>
      </c>
      <c r="K110" s="20">
        <v>11</v>
      </c>
      <c r="L110" s="20">
        <v>16</v>
      </c>
      <c r="M110" s="20">
        <v>12</v>
      </c>
      <c r="N110" s="20">
        <v>4</v>
      </c>
      <c r="O110" s="22">
        <f t="shared" si="7"/>
        <v>96</v>
      </c>
      <c r="P110" s="23">
        <f t="shared" si="10"/>
        <v>0.0015298292806137164</v>
      </c>
      <c r="R110" s="4"/>
      <c r="S110" s="4"/>
      <c r="T110" s="4"/>
      <c r="U110" s="7"/>
    </row>
    <row r="111" spans="1:21" ht="16.5" customHeight="1">
      <c r="A111" s="62">
        <v>28</v>
      </c>
      <c r="B111" s="19" t="s">
        <v>214</v>
      </c>
      <c r="C111" s="20">
        <v>6</v>
      </c>
      <c r="D111" s="20">
        <v>15</v>
      </c>
      <c r="E111" s="20">
        <v>9</v>
      </c>
      <c r="F111" s="21">
        <v>19</v>
      </c>
      <c r="G111" s="20">
        <v>7</v>
      </c>
      <c r="H111" s="20">
        <v>11</v>
      </c>
      <c r="I111" s="20">
        <v>19</v>
      </c>
      <c r="J111" s="20">
        <v>26</v>
      </c>
      <c r="K111" s="20">
        <v>3</v>
      </c>
      <c r="L111" s="20">
        <v>6</v>
      </c>
      <c r="M111" s="20">
        <v>8</v>
      </c>
      <c r="N111" s="20">
        <v>14</v>
      </c>
      <c r="O111" s="22">
        <f t="shared" si="7"/>
        <v>143</v>
      </c>
      <c r="P111" s="23">
        <f t="shared" si="10"/>
        <v>0.0022788081992475154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208</v>
      </c>
      <c r="C112" s="20">
        <v>3</v>
      </c>
      <c r="D112" s="20">
        <v>3</v>
      </c>
      <c r="E112" s="20">
        <f>3+7</f>
        <v>10</v>
      </c>
      <c r="F112" s="21">
        <v>2</v>
      </c>
      <c r="G112" s="20">
        <v>3</v>
      </c>
      <c r="H112" s="20">
        <v>1</v>
      </c>
      <c r="I112" s="20">
        <v>2</v>
      </c>
      <c r="J112" s="20">
        <v>1</v>
      </c>
      <c r="K112" s="20">
        <v>1</v>
      </c>
      <c r="L112" s="20">
        <f>1+5</f>
        <v>6</v>
      </c>
      <c r="M112" s="20">
        <v>2</v>
      </c>
      <c r="N112" s="20">
        <f>3+13+2</f>
        <v>18</v>
      </c>
      <c r="O112" s="22">
        <f t="shared" si="7"/>
        <v>52</v>
      </c>
      <c r="P112" s="23">
        <f t="shared" si="10"/>
        <v>0.0008286575269990964</v>
      </c>
      <c r="R112" s="4"/>
      <c r="S112" s="4"/>
      <c r="T112" s="4"/>
      <c r="U112" s="7"/>
    </row>
    <row r="113" spans="1:21" ht="16.5" customHeight="1">
      <c r="A113" s="62">
        <v>30</v>
      </c>
      <c r="B113" s="19" t="s">
        <v>32</v>
      </c>
      <c r="C113" s="20">
        <v>0</v>
      </c>
      <c r="D113" s="20">
        <v>0</v>
      </c>
      <c r="E113" s="20">
        <v>0</v>
      </c>
      <c r="F113" s="21"/>
      <c r="G113" s="20">
        <v>0</v>
      </c>
      <c r="H113" s="20">
        <v>0</v>
      </c>
      <c r="I113" s="20"/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20">
        <f>16+1</f>
        <v>17</v>
      </c>
      <c r="D114" s="20">
        <v>15</v>
      </c>
      <c r="E114" s="20">
        <f>13+1</f>
        <v>14</v>
      </c>
      <c r="F114" s="21">
        <v>45</v>
      </c>
      <c r="G114" s="20">
        <v>28</v>
      </c>
      <c r="H114" s="20">
        <v>23</v>
      </c>
      <c r="I114" s="20">
        <v>29</v>
      </c>
      <c r="J114" s="20">
        <v>22</v>
      </c>
      <c r="K114" s="20">
        <v>36</v>
      </c>
      <c r="L114" s="20">
        <v>33</v>
      </c>
      <c r="M114" s="20">
        <v>31</v>
      </c>
      <c r="N114" s="20">
        <v>31</v>
      </c>
      <c r="O114" s="22">
        <f t="shared" si="7"/>
        <v>324</v>
      </c>
      <c r="P114" s="23">
        <f t="shared" si="10"/>
        <v>0.005163173822071293</v>
      </c>
      <c r="R114" s="4"/>
      <c r="S114" s="5"/>
      <c r="T114" s="4"/>
      <c r="U114" s="7"/>
    </row>
    <row r="115" spans="1:21" ht="16.5" customHeight="1">
      <c r="A115" s="62">
        <v>32</v>
      </c>
      <c r="B115" s="19" t="s">
        <v>94</v>
      </c>
      <c r="C115" s="20">
        <v>119</v>
      </c>
      <c r="D115" s="20">
        <v>72</v>
      </c>
      <c r="E115" s="20">
        <f>670+1</f>
        <v>671</v>
      </c>
      <c r="F115" s="21">
        <v>258</v>
      </c>
      <c r="G115" s="20">
        <v>127</v>
      </c>
      <c r="H115" s="20">
        <v>115</v>
      </c>
      <c r="I115" s="20">
        <v>89</v>
      </c>
      <c r="J115" s="20">
        <v>94</v>
      </c>
      <c r="K115" s="20">
        <v>91</v>
      </c>
      <c r="L115" s="20">
        <v>68</v>
      </c>
      <c r="M115" s="20">
        <v>54</v>
      </c>
      <c r="N115" s="20">
        <v>51</v>
      </c>
      <c r="O115" s="22">
        <f t="shared" si="7"/>
        <v>1809</v>
      </c>
      <c r="P115" s="23">
        <f t="shared" si="10"/>
        <v>0.028827720506564722</v>
      </c>
      <c r="R115" s="4"/>
      <c r="S115" s="4"/>
      <c r="T115" s="4"/>
      <c r="U115" s="7"/>
    </row>
    <row r="116" spans="1:21" ht="16.5" customHeight="1">
      <c r="A116" s="19">
        <v>33</v>
      </c>
      <c r="B116" s="115" t="s">
        <v>201</v>
      </c>
      <c r="C116" s="20">
        <v>85</v>
      </c>
      <c r="D116" s="20">
        <v>73</v>
      </c>
      <c r="E116" s="20">
        <v>63</v>
      </c>
      <c r="F116" s="21">
        <v>90</v>
      </c>
      <c r="G116" s="20">
        <v>87</v>
      </c>
      <c r="H116" s="20">
        <v>84</v>
      </c>
      <c r="I116" s="20">
        <v>102</v>
      </c>
      <c r="J116" s="20">
        <v>119</v>
      </c>
      <c r="K116" s="20">
        <v>85</v>
      </c>
      <c r="L116" s="20">
        <v>89</v>
      </c>
      <c r="M116" s="20">
        <v>70</v>
      </c>
      <c r="N116" s="20">
        <f>70+3+1</f>
        <v>74</v>
      </c>
      <c r="O116" s="22">
        <f t="shared" si="7"/>
        <v>1021</v>
      </c>
      <c r="P116" s="23">
        <f t="shared" si="10"/>
        <v>0.016270371828193797</v>
      </c>
      <c r="R116" s="4"/>
      <c r="S116" s="4"/>
      <c r="T116" s="4"/>
      <c r="U116" s="7"/>
    </row>
    <row r="117" spans="1:21" ht="16.5" customHeight="1" thickBot="1">
      <c r="A117" s="62">
        <v>34</v>
      </c>
      <c r="B117" s="63" t="s">
        <v>95</v>
      </c>
      <c r="C117" s="50">
        <f>16+1</f>
        <v>17</v>
      </c>
      <c r="D117" s="50">
        <v>19</v>
      </c>
      <c r="E117" s="50">
        <f>24+6</f>
        <v>30</v>
      </c>
      <c r="F117" s="51">
        <v>34</v>
      </c>
      <c r="G117" s="50">
        <v>37</v>
      </c>
      <c r="H117" s="50">
        <v>28</v>
      </c>
      <c r="I117" s="50">
        <v>34</v>
      </c>
      <c r="J117" s="50">
        <v>37</v>
      </c>
      <c r="K117" s="50">
        <v>40</v>
      </c>
      <c r="L117" s="50">
        <v>27</v>
      </c>
      <c r="M117" s="50">
        <v>27</v>
      </c>
      <c r="N117" s="50">
        <f>40+4</f>
        <v>44</v>
      </c>
      <c r="O117" s="41">
        <f t="shared" si="7"/>
        <v>374</v>
      </c>
      <c r="P117" s="53">
        <f t="shared" si="10"/>
        <v>0.005959959905724271</v>
      </c>
      <c r="R117" s="4"/>
      <c r="S117" s="4"/>
      <c r="T117" s="4"/>
      <c r="U117" s="7"/>
    </row>
    <row r="118" spans="1:21" ht="15" thickBot="1" thickTop="1">
      <c r="A118" s="59" t="s">
        <v>33</v>
      </c>
      <c r="B118" s="59" t="s">
        <v>34</v>
      </c>
      <c r="C118" s="60">
        <f aca="true" t="shared" si="11" ref="C118:I118">SUM(C119:C171)</f>
        <v>91193</v>
      </c>
      <c r="D118" s="60">
        <f>SUM(D119:D171)</f>
        <v>89612</v>
      </c>
      <c r="E118" s="60">
        <f t="shared" si="11"/>
        <v>104978</v>
      </c>
      <c r="F118" s="60">
        <f t="shared" si="11"/>
        <v>120382</v>
      </c>
      <c r="G118" s="60">
        <f t="shared" si="11"/>
        <v>105855</v>
      </c>
      <c r="H118" s="60">
        <f t="shared" si="11"/>
        <v>115997</v>
      </c>
      <c r="I118" s="60">
        <f t="shared" si="11"/>
        <v>147948</v>
      </c>
      <c r="J118" s="60">
        <f>SUM(J119:J171)</f>
        <v>174998</v>
      </c>
      <c r="K118" s="60">
        <f>SUM(K119:K171)</f>
        <v>149455</v>
      </c>
      <c r="L118" s="60">
        <f>SUM(L119:L171)</f>
        <v>148491</v>
      </c>
      <c r="M118" s="60">
        <f>SUM(M119:M171)</f>
        <v>112361</v>
      </c>
      <c r="N118" s="60">
        <f>SUM(N119:N171)</f>
        <v>124022</v>
      </c>
      <c r="O118" s="41">
        <f>SUM(C118:N118)</f>
        <v>1485292</v>
      </c>
      <c r="P118" s="61">
        <f t="shared" si="10"/>
        <v>23.66919991522196</v>
      </c>
      <c r="R118" s="4"/>
      <c r="S118" s="4"/>
      <c r="T118" s="4"/>
      <c r="U118" s="7"/>
    </row>
    <row r="119" spans="1:21" ht="14.25" thickTop="1">
      <c r="A119" s="64">
        <v>1</v>
      </c>
      <c r="B119" s="64" t="s">
        <v>129</v>
      </c>
      <c r="C119" s="65">
        <f>1000+12+16+18+10</f>
        <v>1056</v>
      </c>
      <c r="D119" s="65">
        <f>1134+11+13+2</f>
        <v>1160</v>
      </c>
      <c r="E119" s="65">
        <f>1061+6+12+3</f>
        <v>1082</v>
      </c>
      <c r="F119" s="66">
        <v>1470</v>
      </c>
      <c r="G119" s="65">
        <v>1327</v>
      </c>
      <c r="H119" s="65">
        <v>1511</v>
      </c>
      <c r="I119" s="65">
        <v>1511</v>
      </c>
      <c r="J119" s="65">
        <v>2859</v>
      </c>
      <c r="K119" s="65">
        <v>2324</v>
      </c>
      <c r="L119" s="65">
        <f>1881+4</f>
        <v>1885</v>
      </c>
      <c r="M119" s="65">
        <v>1334</v>
      </c>
      <c r="N119" s="65">
        <f>1276+2+3</f>
        <v>1281</v>
      </c>
      <c r="O119" s="67">
        <f t="shared" si="7"/>
        <v>18800</v>
      </c>
      <c r="P119" s="68">
        <f t="shared" si="10"/>
        <v>0.29959156745351945</v>
      </c>
      <c r="R119" s="4"/>
      <c r="S119" s="4"/>
      <c r="T119" s="4"/>
      <c r="U119" s="7"/>
    </row>
    <row r="120" spans="1:21" ht="10.5" customHeight="1">
      <c r="A120" s="69">
        <v>2</v>
      </c>
      <c r="B120" s="69" t="s">
        <v>128</v>
      </c>
      <c r="C120" s="70">
        <v>90</v>
      </c>
      <c r="D120" s="70">
        <v>66</v>
      </c>
      <c r="E120" s="70">
        <v>65</v>
      </c>
      <c r="F120" s="71">
        <v>56</v>
      </c>
      <c r="G120" s="70">
        <v>49</v>
      </c>
      <c r="H120" s="70">
        <v>57</v>
      </c>
      <c r="I120" s="70">
        <v>57</v>
      </c>
      <c r="J120" s="70">
        <v>118</v>
      </c>
      <c r="K120" s="70">
        <v>131</v>
      </c>
      <c r="L120" s="70">
        <v>122</v>
      </c>
      <c r="M120" s="70">
        <v>79</v>
      </c>
      <c r="N120" s="70">
        <v>144</v>
      </c>
      <c r="O120" s="72">
        <f t="shared" si="7"/>
        <v>1034</v>
      </c>
      <c r="P120" s="73">
        <f t="shared" si="10"/>
        <v>0.016477536209943574</v>
      </c>
      <c r="R120" s="4"/>
      <c r="S120" s="4"/>
      <c r="T120" s="4"/>
      <c r="U120" s="7"/>
    </row>
    <row r="121" spans="1:21" ht="10.5" customHeight="1">
      <c r="A121" s="64">
        <v>3</v>
      </c>
      <c r="B121" s="69" t="s">
        <v>125</v>
      </c>
      <c r="C121" s="70">
        <v>16</v>
      </c>
      <c r="D121" s="70">
        <v>8</v>
      </c>
      <c r="E121" s="70">
        <f>8+2</f>
        <v>10</v>
      </c>
      <c r="F121" s="71">
        <v>12</v>
      </c>
      <c r="G121" s="70">
        <v>19</v>
      </c>
      <c r="H121" s="70">
        <v>21</v>
      </c>
      <c r="I121" s="70">
        <v>21</v>
      </c>
      <c r="J121" s="70">
        <v>30</v>
      </c>
      <c r="K121" s="70">
        <v>15</v>
      </c>
      <c r="L121" s="70">
        <v>22</v>
      </c>
      <c r="M121" s="70">
        <v>10</v>
      </c>
      <c r="N121" s="70">
        <v>15</v>
      </c>
      <c r="O121" s="72">
        <f t="shared" si="7"/>
        <v>199</v>
      </c>
      <c r="P121" s="73">
        <f t="shared" si="10"/>
        <v>0.00317120861293885</v>
      </c>
      <c r="R121" s="4"/>
      <c r="S121" s="4"/>
      <c r="T121" s="4"/>
      <c r="U121" s="7"/>
    </row>
    <row r="122" spans="1:21" ht="10.5" customHeight="1">
      <c r="A122" s="69">
        <v>4</v>
      </c>
      <c r="B122" s="69" t="s">
        <v>130</v>
      </c>
      <c r="C122" s="70">
        <v>62</v>
      </c>
      <c r="D122" s="70">
        <v>31</v>
      </c>
      <c r="E122" s="70">
        <v>90</v>
      </c>
      <c r="F122" s="71">
        <v>67</v>
      </c>
      <c r="G122" s="70">
        <v>48</v>
      </c>
      <c r="H122" s="70">
        <v>69</v>
      </c>
      <c r="I122" s="70">
        <v>69</v>
      </c>
      <c r="J122" s="70">
        <v>153</v>
      </c>
      <c r="K122" s="70">
        <v>89</v>
      </c>
      <c r="L122" s="70">
        <v>58</v>
      </c>
      <c r="M122" s="70">
        <v>147</v>
      </c>
      <c r="N122" s="70">
        <f>169+1</f>
        <v>170</v>
      </c>
      <c r="O122" s="72">
        <f t="shared" si="7"/>
        <v>1053</v>
      </c>
      <c r="P122" s="73">
        <f t="shared" si="10"/>
        <v>0.016780314921731702</v>
      </c>
      <c r="R122" s="4"/>
      <c r="S122" s="4"/>
      <c r="T122" s="4"/>
      <c r="U122" s="7"/>
    </row>
    <row r="123" spans="1:21" ht="10.5" customHeight="1">
      <c r="A123" s="64">
        <v>5</v>
      </c>
      <c r="B123" s="69" t="s">
        <v>123</v>
      </c>
      <c r="C123" s="70">
        <v>63</v>
      </c>
      <c r="D123" s="70">
        <v>30</v>
      </c>
      <c r="E123" s="70">
        <v>45</v>
      </c>
      <c r="F123" s="71">
        <v>55</v>
      </c>
      <c r="G123" s="70">
        <v>60</v>
      </c>
      <c r="H123" s="70">
        <v>54</v>
      </c>
      <c r="I123" s="70">
        <v>54</v>
      </c>
      <c r="J123" s="70">
        <v>84</v>
      </c>
      <c r="K123" s="70">
        <v>45</v>
      </c>
      <c r="L123" s="70">
        <v>70</v>
      </c>
      <c r="M123" s="70">
        <v>96</v>
      </c>
      <c r="N123" s="70">
        <v>54</v>
      </c>
      <c r="O123" s="72">
        <f t="shared" si="7"/>
        <v>710</v>
      </c>
      <c r="P123" s="73">
        <f t="shared" si="10"/>
        <v>0.011314362387872277</v>
      </c>
      <c r="R123" s="4"/>
      <c r="S123" s="4"/>
      <c r="T123" s="4"/>
      <c r="U123" s="7"/>
    </row>
    <row r="124" spans="1:21" ht="10.5" customHeight="1">
      <c r="A124" s="69">
        <v>6</v>
      </c>
      <c r="B124" s="69" t="s">
        <v>135</v>
      </c>
      <c r="C124" s="70">
        <f>1124+2+2</f>
        <v>1128</v>
      </c>
      <c r="D124" s="70">
        <v>1074</v>
      </c>
      <c r="E124" s="70">
        <f>1304+4+7+1</f>
        <v>1316</v>
      </c>
      <c r="F124" s="71">
        <v>2294</v>
      </c>
      <c r="G124" s="70">
        <f>2113+1</f>
        <v>2114</v>
      </c>
      <c r="H124" s="70">
        <v>3238</v>
      </c>
      <c r="I124" s="70">
        <v>3238</v>
      </c>
      <c r="J124" s="70">
        <v>3446</v>
      </c>
      <c r="K124" s="70">
        <v>4343</v>
      </c>
      <c r="L124" s="70">
        <v>2694</v>
      </c>
      <c r="M124" s="70">
        <v>1707</v>
      </c>
      <c r="N124" s="70">
        <f>1543+5+4</f>
        <v>1552</v>
      </c>
      <c r="O124" s="72">
        <f t="shared" si="7"/>
        <v>28144</v>
      </c>
      <c r="P124" s="73">
        <f t="shared" si="10"/>
        <v>0.4484949507665879</v>
      </c>
      <c r="R124" s="4"/>
      <c r="S124" s="4"/>
      <c r="T124" s="4"/>
      <c r="U124" s="7"/>
    </row>
    <row r="125" spans="1:21" ht="10.5" customHeight="1">
      <c r="A125" s="64">
        <v>7</v>
      </c>
      <c r="B125" s="69" t="s">
        <v>217</v>
      </c>
      <c r="C125" s="70">
        <v>6834</v>
      </c>
      <c r="D125" s="70">
        <v>6108</v>
      </c>
      <c r="E125" s="70">
        <f>6678+20+25+2+2-18</f>
        <v>6709</v>
      </c>
      <c r="F125" s="71">
        <f>8486-18</f>
        <v>8468</v>
      </c>
      <c r="G125" s="70">
        <v>8231</v>
      </c>
      <c r="H125" s="70">
        <f>8616-14</f>
        <v>8602</v>
      </c>
      <c r="I125" s="70">
        <f>8616-14+8122</f>
        <v>16724</v>
      </c>
      <c r="J125" s="70">
        <f>11306+2</f>
        <v>11308</v>
      </c>
      <c r="K125" s="70">
        <f>11460+1+250</f>
        <v>11711</v>
      </c>
      <c r="L125" s="70">
        <f>11662+4+1050</f>
        <v>12716</v>
      </c>
      <c r="M125" s="70">
        <f>9610-67</f>
        <v>9543</v>
      </c>
      <c r="N125" s="70">
        <v>9661</v>
      </c>
      <c r="O125" s="72">
        <f t="shared" si="7"/>
        <v>116615</v>
      </c>
      <c r="P125" s="73">
        <f t="shared" si="10"/>
        <v>1.858344182903839</v>
      </c>
      <c r="Q125" s="7">
        <f>106954-O125</f>
        <v>-9661</v>
      </c>
      <c r="R125" s="4"/>
      <c r="S125" s="12"/>
      <c r="T125" s="4"/>
      <c r="U125" s="7"/>
    </row>
    <row r="126" spans="1:21" ht="10.5" customHeight="1">
      <c r="A126" s="69">
        <v>8</v>
      </c>
      <c r="B126" s="69" t="s">
        <v>134</v>
      </c>
      <c r="C126" s="70">
        <f>565+1+2+3</f>
        <v>571</v>
      </c>
      <c r="D126" s="70">
        <f>615+1</f>
        <v>616</v>
      </c>
      <c r="E126" s="70">
        <f>630+4+1</f>
        <v>635</v>
      </c>
      <c r="F126" s="71">
        <v>395</v>
      </c>
      <c r="G126" s="70">
        <v>422</v>
      </c>
      <c r="H126" s="70">
        <v>318</v>
      </c>
      <c r="I126" s="70">
        <v>318</v>
      </c>
      <c r="J126" s="70">
        <v>354</v>
      </c>
      <c r="K126" s="70">
        <v>430</v>
      </c>
      <c r="L126" s="70">
        <f>498+1</f>
        <v>499</v>
      </c>
      <c r="M126" s="70">
        <v>585</v>
      </c>
      <c r="N126" s="70">
        <f>640+2+2+1</f>
        <v>645</v>
      </c>
      <c r="O126" s="72">
        <f t="shared" si="7"/>
        <v>5788</v>
      </c>
      <c r="P126" s="73">
        <f t="shared" si="10"/>
        <v>0.09223595704366866</v>
      </c>
      <c r="R126" s="4"/>
      <c r="S126" s="4"/>
      <c r="T126" s="4"/>
      <c r="U126" s="7"/>
    </row>
    <row r="127" spans="1:21" ht="10.5" customHeight="1">
      <c r="A127" s="64">
        <v>9</v>
      </c>
      <c r="B127" s="69" t="s">
        <v>141</v>
      </c>
      <c r="C127" s="70">
        <f>545+5+4+8+1</f>
        <v>563</v>
      </c>
      <c r="D127" s="70">
        <f>600+5</f>
        <v>605</v>
      </c>
      <c r="E127" s="70">
        <f>542+2+5+14+7</f>
        <v>570</v>
      </c>
      <c r="F127" s="71">
        <v>513</v>
      </c>
      <c r="G127" s="70">
        <v>338</v>
      </c>
      <c r="H127" s="70">
        <v>324</v>
      </c>
      <c r="I127" s="70">
        <v>324</v>
      </c>
      <c r="J127" s="70">
        <v>268</v>
      </c>
      <c r="K127" s="70">
        <v>338</v>
      </c>
      <c r="L127" s="70">
        <f>473+5</f>
        <v>478</v>
      </c>
      <c r="M127" s="70">
        <v>785</v>
      </c>
      <c r="N127" s="70">
        <f>666+1+10+1</f>
        <v>678</v>
      </c>
      <c r="O127" s="72">
        <f t="shared" si="7"/>
        <v>5784</v>
      </c>
      <c r="P127" s="73">
        <f t="shared" si="10"/>
        <v>0.09217221415697642</v>
      </c>
      <c r="R127" s="4"/>
      <c r="S127" s="4"/>
      <c r="T127" s="4"/>
      <c r="U127" s="7"/>
    </row>
    <row r="128" spans="1:21" ht="10.5" customHeight="1">
      <c r="A128" s="69">
        <v>10</v>
      </c>
      <c r="B128" s="69" t="s">
        <v>96</v>
      </c>
      <c r="C128" s="70">
        <v>65</v>
      </c>
      <c r="D128" s="70">
        <v>68</v>
      </c>
      <c r="E128" s="70">
        <f>85+6+2</f>
        <v>93</v>
      </c>
      <c r="F128" s="71">
        <v>114</v>
      </c>
      <c r="G128" s="70">
        <v>89</v>
      </c>
      <c r="H128" s="70">
        <v>102</v>
      </c>
      <c r="I128" s="70">
        <v>102</v>
      </c>
      <c r="J128" s="70">
        <v>89</v>
      </c>
      <c r="K128" s="70">
        <v>94</v>
      </c>
      <c r="L128" s="70">
        <f>123+3</f>
        <v>126</v>
      </c>
      <c r="M128" s="70">
        <v>73</v>
      </c>
      <c r="N128" s="70">
        <f>51+13+2</f>
        <v>66</v>
      </c>
      <c r="O128" s="72">
        <f t="shared" si="7"/>
        <v>1081</v>
      </c>
      <c r="P128" s="73">
        <f t="shared" si="10"/>
        <v>0.017226515128577372</v>
      </c>
      <c r="R128" s="4"/>
      <c r="S128" s="4"/>
      <c r="T128" s="4"/>
      <c r="U128" s="7"/>
    </row>
    <row r="129" spans="1:21" ht="10.5" customHeight="1">
      <c r="A129" s="64">
        <v>11</v>
      </c>
      <c r="B129" s="69" t="s">
        <v>154</v>
      </c>
      <c r="C129" s="70">
        <f>259+1+1+3+2</f>
        <v>266</v>
      </c>
      <c r="D129" s="70">
        <f>202+6</f>
        <v>208</v>
      </c>
      <c r="E129" s="70">
        <f>219+2+14</f>
        <v>235</v>
      </c>
      <c r="F129" s="71">
        <f>356+2</f>
        <v>358</v>
      </c>
      <c r="G129" s="70">
        <v>171</v>
      </c>
      <c r="H129" s="70">
        <v>311</v>
      </c>
      <c r="I129" s="70">
        <v>311</v>
      </c>
      <c r="J129" s="70">
        <v>348</v>
      </c>
      <c r="K129" s="70">
        <f>262+1</f>
        <v>263</v>
      </c>
      <c r="L129" s="70">
        <f>336+10</f>
        <v>346</v>
      </c>
      <c r="M129" s="70">
        <v>318</v>
      </c>
      <c r="N129" s="70">
        <f>408+2+12+1</f>
        <v>423</v>
      </c>
      <c r="O129" s="72">
        <f t="shared" si="7"/>
        <v>3558</v>
      </c>
      <c r="P129" s="73">
        <f t="shared" si="10"/>
        <v>0.05669929771274587</v>
      </c>
      <c r="R129" s="4"/>
      <c r="S129" s="4"/>
      <c r="T129" s="4"/>
      <c r="U129" s="7"/>
    </row>
    <row r="130" spans="1:21" ht="10.5" customHeight="1">
      <c r="A130" s="69">
        <v>12</v>
      </c>
      <c r="B130" s="69" t="s">
        <v>157</v>
      </c>
      <c r="C130" s="70">
        <f>1480+1+2</f>
        <v>1483</v>
      </c>
      <c r="D130" s="70">
        <v>1875</v>
      </c>
      <c r="E130" s="70">
        <f>2345+3</f>
        <v>2348</v>
      </c>
      <c r="F130" s="71">
        <v>1890</v>
      </c>
      <c r="G130" s="70">
        <v>1175</v>
      </c>
      <c r="H130" s="70">
        <v>1197</v>
      </c>
      <c r="I130" s="70">
        <v>1197</v>
      </c>
      <c r="J130" s="70">
        <v>1198</v>
      </c>
      <c r="K130" s="70">
        <v>1598</v>
      </c>
      <c r="L130" s="70">
        <v>2215</v>
      </c>
      <c r="M130" s="71">
        <v>1997</v>
      </c>
      <c r="N130" s="71">
        <v>1986</v>
      </c>
      <c r="O130" s="72">
        <f t="shared" si="7"/>
        <v>20159</v>
      </c>
      <c r="P130" s="73">
        <f t="shared" si="10"/>
        <v>0.3212482132072074</v>
      </c>
      <c r="R130" s="4"/>
      <c r="S130" s="4"/>
      <c r="T130" s="4"/>
      <c r="U130" s="7"/>
    </row>
    <row r="131" spans="1:21" s="15" customFormat="1" ht="10.5" customHeight="1">
      <c r="A131" s="64">
        <v>13</v>
      </c>
      <c r="B131" s="69" t="s">
        <v>209</v>
      </c>
      <c r="C131" s="70">
        <v>0</v>
      </c>
      <c r="D131" s="70">
        <v>0</v>
      </c>
      <c r="E131" s="70">
        <v>0</v>
      </c>
      <c r="F131" s="71"/>
      <c r="G131" s="70">
        <v>1</v>
      </c>
      <c r="H131" s="70">
        <v>0</v>
      </c>
      <c r="I131" s="70">
        <v>0</v>
      </c>
      <c r="J131" s="70">
        <v>0</v>
      </c>
      <c r="K131" s="70">
        <v>0</v>
      </c>
      <c r="L131" s="70">
        <f>0+3</f>
        <v>3</v>
      </c>
      <c r="M131" s="70">
        <v>0</v>
      </c>
      <c r="N131" s="70">
        <v>1</v>
      </c>
      <c r="O131" s="72">
        <f aca="true" t="shared" si="12" ref="O131:O194">SUM(C131:N131)</f>
        <v>5</v>
      </c>
      <c r="P131" s="73">
        <f t="shared" si="10"/>
        <v>7.967860836529773E-05</v>
      </c>
      <c r="R131" s="16"/>
      <c r="S131" s="16"/>
      <c r="T131" s="16"/>
      <c r="U131" s="17"/>
    </row>
    <row r="132" spans="1:21" ht="10.5" customHeight="1">
      <c r="A132" s="69">
        <v>14</v>
      </c>
      <c r="B132" s="69" t="s">
        <v>158</v>
      </c>
      <c r="C132" s="70">
        <v>2144</v>
      </c>
      <c r="D132" s="70">
        <v>2696</v>
      </c>
      <c r="E132" s="70">
        <f>2976+7+5+3-6</f>
        <v>2985</v>
      </c>
      <c r="F132" s="71">
        <f>3654+2-4</f>
        <v>3652</v>
      </c>
      <c r="G132" s="70">
        <v>2117</v>
      </c>
      <c r="H132" s="70">
        <f>2211-19</f>
        <v>2192</v>
      </c>
      <c r="I132" s="70">
        <f>2211-19+4898</f>
        <v>7090</v>
      </c>
      <c r="J132" s="70">
        <v>2196</v>
      </c>
      <c r="K132" s="70">
        <f>2251+1+85</f>
        <v>2337</v>
      </c>
      <c r="L132" s="70">
        <f>3242+1+102</f>
        <v>3345</v>
      </c>
      <c r="M132" s="70">
        <f>1705+10</f>
        <v>1715</v>
      </c>
      <c r="N132" s="70">
        <f>2180+2+1+1</f>
        <v>2184</v>
      </c>
      <c r="O132" s="72">
        <f t="shared" si="12"/>
        <v>34653</v>
      </c>
      <c r="P132" s="73">
        <f t="shared" si="10"/>
        <v>0.5522205631365326</v>
      </c>
      <c r="Q132" s="7">
        <f>32469-O132</f>
        <v>-2184</v>
      </c>
      <c r="R132" s="4"/>
      <c r="S132" s="4"/>
      <c r="T132" s="4"/>
      <c r="U132" s="7"/>
    </row>
    <row r="133" spans="1:21" ht="10.5" customHeight="1">
      <c r="A133" s="64">
        <v>15</v>
      </c>
      <c r="B133" s="69" t="s">
        <v>162</v>
      </c>
      <c r="C133" s="70">
        <f>606+2+1</f>
        <v>609</v>
      </c>
      <c r="D133" s="70">
        <f>770+1</f>
        <v>771</v>
      </c>
      <c r="E133" s="70">
        <f>672+1</f>
        <v>673</v>
      </c>
      <c r="F133" s="71">
        <v>338</v>
      </c>
      <c r="G133" s="70">
        <v>205</v>
      </c>
      <c r="H133" s="70">
        <v>200</v>
      </c>
      <c r="I133" s="70">
        <v>200</v>
      </c>
      <c r="J133" s="70">
        <v>175</v>
      </c>
      <c r="K133" s="70">
        <v>258</v>
      </c>
      <c r="L133" s="70">
        <v>518</v>
      </c>
      <c r="M133" s="70">
        <v>619</v>
      </c>
      <c r="N133" s="70">
        <f>875+1</f>
        <v>876</v>
      </c>
      <c r="O133" s="72">
        <f t="shared" si="12"/>
        <v>5442</v>
      </c>
      <c r="P133" s="73">
        <f aca="true" t="shared" si="13" ref="P133:P160">O133/$O$196*100</f>
        <v>0.08672219734479006</v>
      </c>
      <c r="R133" s="4"/>
      <c r="S133" s="4"/>
      <c r="T133" s="4"/>
      <c r="U133" s="7"/>
    </row>
    <row r="134" spans="1:21" ht="10.5" customHeight="1">
      <c r="A134" s="69">
        <v>16</v>
      </c>
      <c r="B134" s="69" t="s">
        <v>165</v>
      </c>
      <c r="C134" s="70">
        <f>1731+1</f>
        <v>1732</v>
      </c>
      <c r="D134" s="70">
        <v>2092</v>
      </c>
      <c r="E134" s="70">
        <f>1692+5+5+2+1</f>
        <v>1705</v>
      </c>
      <c r="F134" s="71">
        <f>1186+1</f>
        <v>1187</v>
      </c>
      <c r="G134" s="70">
        <v>1017</v>
      </c>
      <c r="H134" s="70">
        <v>1011</v>
      </c>
      <c r="I134" s="70">
        <v>1011</v>
      </c>
      <c r="J134" s="70">
        <v>579</v>
      </c>
      <c r="K134" s="70">
        <v>836</v>
      </c>
      <c r="L134" s="70">
        <v>1600</v>
      </c>
      <c r="M134" s="70">
        <v>1410</v>
      </c>
      <c r="N134" s="70">
        <f>2418+1+2</f>
        <v>2421</v>
      </c>
      <c r="O134" s="72">
        <f t="shared" si="12"/>
        <v>16601</v>
      </c>
      <c r="P134" s="73">
        <f t="shared" si="13"/>
        <v>0.2645489154944615</v>
      </c>
      <c r="R134" s="4"/>
      <c r="S134" s="4"/>
      <c r="T134" s="4"/>
      <c r="U134" s="7"/>
    </row>
    <row r="135" spans="1:21" ht="10.5" customHeight="1">
      <c r="A135" s="64">
        <v>17</v>
      </c>
      <c r="B135" s="69" t="s">
        <v>168</v>
      </c>
      <c r="C135" s="70">
        <f>77+4</f>
        <v>81</v>
      </c>
      <c r="D135" s="70">
        <v>47</v>
      </c>
      <c r="E135" s="70">
        <v>20</v>
      </c>
      <c r="F135" s="71">
        <v>28</v>
      </c>
      <c r="G135" s="70">
        <v>32</v>
      </c>
      <c r="H135" s="70">
        <v>33</v>
      </c>
      <c r="I135" s="70">
        <v>33</v>
      </c>
      <c r="J135" s="74">
        <v>40</v>
      </c>
      <c r="K135" s="70">
        <f>45</f>
        <v>45</v>
      </c>
      <c r="L135" s="70">
        <v>76</v>
      </c>
      <c r="M135" s="70">
        <v>38</v>
      </c>
      <c r="N135" s="70">
        <v>39</v>
      </c>
      <c r="O135" s="72">
        <f t="shared" si="12"/>
        <v>512</v>
      </c>
      <c r="P135" s="73">
        <f t="shared" si="13"/>
        <v>0.008159089496606488</v>
      </c>
      <c r="R135" s="4"/>
      <c r="S135" s="4"/>
      <c r="T135" s="4"/>
      <c r="U135" s="7"/>
    </row>
    <row r="136" spans="1:21" ht="10.5" customHeight="1">
      <c r="A136" s="69">
        <v>18</v>
      </c>
      <c r="B136" s="69" t="s">
        <v>172</v>
      </c>
      <c r="C136" s="70">
        <f>846+3+2+4+4</f>
        <v>859</v>
      </c>
      <c r="D136" s="70">
        <f>979+5</f>
        <v>984</v>
      </c>
      <c r="E136" s="70">
        <f>903+7+4</f>
        <v>914</v>
      </c>
      <c r="F136" s="71">
        <v>933</v>
      </c>
      <c r="G136" s="70">
        <v>691</v>
      </c>
      <c r="H136" s="70">
        <v>786</v>
      </c>
      <c r="I136" s="70">
        <v>786</v>
      </c>
      <c r="J136" s="70">
        <v>876</v>
      </c>
      <c r="K136" s="70">
        <v>920</v>
      </c>
      <c r="L136" s="70">
        <f>1420+2</f>
        <v>1422</v>
      </c>
      <c r="M136" s="70">
        <v>897</v>
      </c>
      <c r="N136" s="70">
        <f>888+2+2+4+4</f>
        <v>900</v>
      </c>
      <c r="O136" s="72">
        <f t="shared" si="12"/>
        <v>10968</v>
      </c>
      <c r="P136" s="73">
        <f t="shared" si="13"/>
        <v>0.17478299531011712</v>
      </c>
      <c r="R136" s="4"/>
      <c r="S136" s="4"/>
      <c r="T136" s="4"/>
      <c r="U136" s="4"/>
    </row>
    <row r="137" spans="1:21" ht="10.5" customHeight="1">
      <c r="A137" s="64">
        <v>19</v>
      </c>
      <c r="B137" s="69" t="s">
        <v>60</v>
      </c>
      <c r="C137" s="70">
        <f>2600+4+2+31+1</f>
        <v>2638</v>
      </c>
      <c r="D137" s="70">
        <f>2288+4</f>
        <v>2292</v>
      </c>
      <c r="E137" s="70">
        <f>2536+11+10+88+6</f>
        <v>2651</v>
      </c>
      <c r="F137" s="71">
        <v>3647</v>
      </c>
      <c r="G137" s="70">
        <f>3176+9</f>
        <v>3185</v>
      </c>
      <c r="H137" s="70">
        <v>3897</v>
      </c>
      <c r="I137" s="70">
        <v>3897</v>
      </c>
      <c r="J137" s="70">
        <f>14939+2979</f>
        <v>17918</v>
      </c>
      <c r="K137" s="70">
        <v>5023</v>
      </c>
      <c r="L137" s="70">
        <f>4134+25</f>
        <v>4159</v>
      </c>
      <c r="M137" s="70">
        <v>3420</v>
      </c>
      <c r="N137" s="70">
        <f>3522+18+7+87+13</f>
        <v>3647</v>
      </c>
      <c r="O137" s="72">
        <f t="shared" si="12"/>
        <v>56374</v>
      </c>
      <c r="P137" s="73">
        <f t="shared" si="13"/>
        <v>0.898360373597059</v>
      </c>
      <c r="Q137" s="7"/>
      <c r="R137" s="4"/>
      <c r="S137" s="4"/>
      <c r="T137" s="4"/>
      <c r="U137" s="4"/>
    </row>
    <row r="138" spans="1:21" ht="10.5" customHeight="1">
      <c r="A138" s="69">
        <v>20</v>
      </c>
      <c r="B138" s="69" t="s">
        <v>218</v>
      </c>
      <c r="C138" s="70">
        <v>15559</v>
      </c>
      <c r="D138" s="70">
        <v>15806</v>
      </c>
      <c r="E138" s="70">
        <f>19744+766+883+125+82-228</f>
        <v>21372</v>
      </c>
      <c r="F138" s="71">
        <f>24492+4+4</f>
        <v>24500</v>
      </c>
      <c r="G138" s="75">
        <f>23261</f>
        <v>23261</v>
      </c>
      <c r="H138" s="70">
        <f>26538</f>
        <v>26538</v>
      </c>
      <c r="I138" s="70">
        <f>26558+60+1926</f>
        <v>28544</v>
      </c>
      <c r="J138" s="70">
        <f>31265</f>
        <v>31265</v>
      </c>
      <c r="K138" s="70">
        <f>28974+14+513</f>
        <v>29501</v>
      </c>
      <c r="L138" s="70">
        <f>25148+550+839</f>
        <v>26537</v>
      </c>
      <c r="M138" s="70">
        <f>20317+240</f>
        <v>20557</v>
      </c>
      <c r="N138" s="70">
        <v>23818</v>
      </c>
      <c r="O138" s="72">
        <f t="shared" si="12"/>
        <v>287258</v>
      </c>
      <c r="P138" s="73">
        <f t="shared" si="13"/>
        <v>4.577663536359739</v>
      </c>
      <c r="Q138" s="7">
        <f>263471-O138</f>
        <v>-23787</v>
      </c>
      <c r="R138" s="4"/>
      <c r="S138" s="12"/>
      <c r="T138" s="4"/>
      <c r="U138" s="4"/>
    </row>
    <row r="139" spans="1:21" ht="10.5" customHeight="1">
      <c r="A139" s="64">
        <v>21</v>
      </c>
      <c r="B139" s="69" t="s">
        <v>97</v>
      </c>
      <c r="C139" s="70">
        <v>135</v>
      </c>
      <c r="D139" s="70">
        <v>128</v>
      </c>
      <c r="E139" s="70">
        <f>185+3</f>
        <v>188</v>
      </c>
      <c r="F139" s="71">
        <v>254</v>
      </c>
      <c r="G139" s="75">
        <v>153</v>
      </c>
      <c r="H139" s="70">
        <v>153</v>
      </c>
      <c r="I139" s="70">
        <v>153</v>
      </c>
      <c r="J139" s="70">
        <v>100</v>
      </c>
      <c r="K139" s="70">
        <v>207</v>
      </c>
      <c r="L139" s="70">
        <v>157</v>
      </c>
      <c r="M139" s="70">
        <v>73</v>
      </c>
      <c r="N139" s="70">
        <v>247</v>
      </c>
      <c r="O139" s="72">
        <f t="shared" si="12"/>
        <v>1948</v>
      </c>
      <c r="P139" s="73">
        <f t="shared" si="13"/>
        <v>0.031042785819119997</v>
      </c>
      <c r="R139" s="4"/>
      <c r="S139" s="5"/>
      <c r="T139" s="4"/>
      <c r="U139" s="4"/>
    </row>
    <row r="140" spans="1:21" ht="10.5" customHeight="1">
      <c r="A140" s="69">
        <v>22</v>
      </c>
      <c r="B140" s="69" t="s">
        <v>98</v>
      </c>
      <c r="C140" s="70">
        <f>1270+4+6+2</f>
        <v>1282</v>
      </c>
      <c r="D140" s="70">
        <f>1146+1</f>
        <v>1147</v>
      </c>
      <c r="E140" s="70">
        <f>1416+16+27+13</f>
        <v>1472</v>
      </c>
      <c r="F140" s="71">
        <v>1840</v>
      </c>
      <c r="G140" s="70">
        <v>1734</v>
      </c>
      <c r="H140" s="70">
        <v>2250</v>
      </c>
      <c r="I140" s="70">
        <v>2250</v>
      </c>
      <c r="J140" s="70">
        <v>2685</v>
      </c>
      <c r="K140" s="70">
        <v>2109</v>
      </c>
      <c r="L140" s="70">
        <f>1941+5</f>
        <v>1946</v>
      </c>
      <c r="M140" s="70">
        <v>1695</v>
      </c>
      <c r="N140" s="70">
        <f>2304+5+9+5+2</f>
        <v>2325</v>
      </c>
      <c r="O140" s="72">
        <f t="shared" si="12"/>
        <v>22735</v>
      </c>
      <c r="P140" s="73">
        <f t="shared" si="13"/>
        <v>0.3622986322370088</v>
      </c>
      <c r="Q140" s="7"/>
      <c r="R140" s="6"/>
      <c r="S140" s="4"/>
      <c r="T140" s="4"/>
      <c r="U140" s="4"/>
    </row>
    <row r="141" spans="1:21" ht="9.75" customHeight="1">
      <c r="A141" s="64">
        <v>23</v>
      </c>
      <c r="B141" s="69" t="s">
        <v>99</v>
      </c>
      <c r="C141" s="70">
        <v>8436</v>
      </c>
      <c r="D141" s="70">
        <v>9784</v>
      </c>
      <c r="E141" s="70">
        <f>13444+99+115+5+7-13</f>
        <v>13657</v>
      </c>
      <c r="F141" s="71">
        <f>15505+2-17</f>
        <v>15490</v>
      </c>
      <c r="G141" s="70">
        <f>15484</f>
        <v>15484</v>
      </c>
      <c r="H141" s="70">
        <v>16991</v>
      </c>
      <c r="I141" s="70">
        <v>20027</v>
      </c>
      <c r="J141" s="70">
        <f>23611</f>
        <v>23611</v>
      </c>
      <c r="K141" s="70">
        <f>25049+1644</f>
        <v>26693</v>
      </c>
      <c r="L141" s="70">
        <f>21800+10+1178</f>
        <v>22988</v>
      </c>
      <c r="M141" s="70">
        <f>13034-3</f>
        <v>13031</v>
      </c>
      <c r="N141" s="70">
        <v>11286</v>
      </c>
      <c r="O141" s="72">
        <f t="shared" si="12"/>
        <v>197478</v>
      </c>
      <c r="P141" s="73">
        <f t="shared" si="13"/>
        <v>3.146954444552453</v>
      </c>
      <c r="Q141" s="7">
        <f>186310-O141</f>
        <v>-11168</v>
      </c>
      <c r="R141" s="4"/>
      <c r="S141" s="12"/>
      <c r="T141" s="4"/>
      <c r="U141" s="4"/>
    </row>
    <row r="142" spans="1:21" ht="10.5" customHeight="1">
      <c r="A142" s="69">
        <v>24</v>
      </c>
      <c r="B142" s="69" t="s">
        <v>100</v>
      </c>
      <c r="C142" s="70">
        <f>1126+4+3</f>
        <v>1133</v>
      </c>
      <c r="D142" s="70">
        <v>661</v>
      </c>
      <c r="E142" s="70">
        <f>802+4</f>
        <v>806</v>
      </c>
      <c r="F142" s="71">
        <v>438</v>
      </c>
      <c r="G142" s="70">
        <v>417</v>
      </c>
      <c r="H142" s="70">
        <v>549</v>
      </c>
      <c r="I142" s="70">
        <v>549</v>
      </c>
      <c r="J142" s="70">
        <v>726</v>
      </c>
      <c r="K142" s="70">
        <v>497</v>
      </c>
      <c r="L142" s="70">
        <v>601</v>
      </c>
      <c r="M142" s="70">
        <v>567</v>
      </c>
      <c r="N142" s="70">
        <f>1147+19+25</f>
        <v>1191</v>
      </c>
      <c r="O142" s="72">
        <f t="shared" si="12"/>
        <v>8135</v>
      </c>
      <c r="P142" s="73">
        <f t="shared" si="13"/>
        <v>0.12963709581033941</v>
      </c>
      <c r="R142" s="4"/>
      <c r="S142" s="4"/>
      <c r="T142" s="4"/>
      <c r="U142" s="4"/>
    </row>
    <row r="143" spans="1:21" ht="10.5" customHeight="1">
      <c r="A143" s="64">
        <v>25</v>
      </c>
      <c r="B143" s="69" t="s">
        <v>36</v>
      </c>
      <c r="C143" s="70">
        <f>145+1+1</f>
        <v>147</v>
      </c>
      <c r="D143" s="70">
        <v>132</v>
      </c>
      <c r="E143" s="70">
        <v>65</v>
      </c>
      <c r="F143" s="71">
        <v>74</v>
      </c>
      <c r="G143" s="70">
        <v>61</v>
      </c>
      <c r="H143" s="70">
        <v>59</v>
      </c>
      <c r="I143" s="70">
        <v>59</v>
      </c>
      <c r="J143" s="70">
        <v>66</v>
      </c>
      <c r="K143" s="70">
        <v>51</v>
      </c>
      <c r="L143" s="70">
        <f>65+2</f>
        <v>67</v>
      </c>
      <c r="M143" s="70">
        <v>68</v>
      </c>
      <c r="N143" s="70">
        <f>112+1+6+5+2</f>
        <v>126</v>
      </c>
      <c r="O143" s="72">
        <f t="shared" si="12"/>
        <v>975</v>
      </c>
      <c r="P143" s="73">
        <f t="shared" si="13"/>
        <v>0.015537328631233058</v>
      </c>
      <c r="Q143" s="7"/>
      <c r="R143" s="4"/>
      <c r="S143" s="4"/>
      <c r="T143" s="4"/>
      <c r="U143" s="4"/>
    </row>
    <row r="144" spans="1:21" ht="10.5" customHeight="1">
      <c r="A144" s="69">
        <v>26</v>
      </c>
      <c r="B144" s="69" t="s">
        <v>180</v>
      </c>
      <c r="C144" s="70">
        <f>488+1</f>
        <v>489</v>
      </c>
      <c r="D144" s="70">
        <v>727</v>
      </c>
      <c r="E144" s="70">
        <f>807+3</f>
        <v>810</v>
      </c>
      <c r="F144" s="71">
        <v>560</v>
      </c>
      <c r="G144" s="70">
        <v>557</v>
      </c>
      <c r="H144" s="70">
        <v>580</v>
      </c>
      <c r="I144" s="70">
        <v>580</v>
      </c>
      <c r="J144" s="70">
        <v>447</v>
      </c>
      <c r="K144" s="70">
        <f>563+5</f>
        <v>568</v>
      </c>
      <c r="L144" s="70">
        <v>868</v>
      </c>
      <c r="M144" s="70">
        <v>681</v>
      </c>
      <c r="N144" s="70">
        <f>895+4+2</f>
        <v>901</v>
      </c>
      <c r="O144" s="72">
        <f t="shared" si="12"/>
        <v>7768</v>
      </c>
      <c r="P144" s="73">
        <f t="shared" si="13"/>
        <v>0.12378868595632656</v>
      </c>
      <c r="R144" s="4"/>
      <c r="S144" s="4"/>
      <c r="T144" s="4"/>
      <c r="U144" s="4"/>
    </row>
    <row r="145" spans="1:21" ht="10.5" customHeight="1">
      <c r="A145" s="64">
        <v>27</v>
      </c>
      <c r="B145" s="69" t="s">
        <v>179</v>
      </c>
      <c r="C145" s="70">
        <v>5</v>
      </c>
      <c r="D145" s="70">
        <v>1</v>
      </c>
      <c r="E145" s="70">
        <v>2</v>
      </c>
      <c r="F145" s="71">
        <v>10</v>
      </c>
      <c r="G145" s="70">
        <v>6</v>
      </c>
      <c r="H145" s="70">
        <v>9</v>
      </c>
      <c r="I145" s="70">
        <v>9</v>
      </c>
      <c r="J145" s="70">
        <v>13</v>
      </c>
      <c r="K145" s="70">
        <v>11</v>
      </c>
      <c r="L145" s="70">
        <v>16</v>
      </c>
      <c r="M145" s="70">
        <v>10</v>
      </c>
      <c r="N145" s="70">
        <v>5</v>
      </c>
      <c r="O145" s="72">
        <f t="shared" si="12"/>
        <v>97</v>
      </c>
      <c r="P145" s="73">
        <f t="shared" si="13"/>
        <v>0.0015457650022867762</v>
      </c>
      <c r="R145" s="4"/>
      <c r="S145" s="4"/>
      <c r="T145" s="4"/>
      <c r="U145" s="4"/>
    </row>
    <row r="146" spans="1:21" ht="10.5" customHeight="1">
      <c r="A146" s="69">
        <v>28</v>
      </c>
      <c r="B146" s="69" t="s">
        <v>178</v>
      </c>
      <c r="C146" s="70">
        <f>342+4+4</f>
        <v>350</v>
      </c>
      <c r="D146" s="70">
        <v>452</v>
      </c>
      <c r="E146" s="70">
        <f>566+6</f>
        <v>572</v>
      </c>
      <c r="F146" s="71">
        <v>258</v>
      </c>
      <c r="G146" s="70">
        <v>194</v>
      </c>
      <c r="H146" s="70">
        <v>174</v>
      </c>
      <c r="I146" s="70">
        <v>174</v>
      </c>
      <c r="J146" s="70">
        <v>164</v>
      </c>
      <c r="K146" s="70">
        <f>271+1</f>
        <v>272</v>
      </c>
      <c r="L146" s="70">
        <f>414+1</f>
        <v>415</v>
      </c>
      <c r="M146" s="70">
        <v>544</v>
      </c>
      <c r="N146" s="70">
        <f>650+2+3</f>
        <v>655</v>
      </c>
      <c r="O146" s="72">
        <f t="shared" si="12"/>
        <v>4224</v>
      </c>
      <c r="P146" s="73">
        <f t="shared" si="13"/>
        <v>0.06731248834700353</v>
      </c>
      <c r="R146" s="4"/>
      <c r="S146" s="4"/>
      <c r="T146" s="4"/>
      <c r="U146" s="4"/>
    </row>
    <row r="147" spans="1:21" ht="10.5" customHeight="1">
      <c r="A147" s="64">
        <v>29</v>
      </c>
      <c r="B147" s="69" t="s">
        <v>101</v>
      </c>
      <c r="C147" s="70">
        <f>29+2+2</f>
        <v>33</v>
      </c>
      <c r="D147" s="70">
        <f>41+2</f>
        <v>43</v>
      </c>
      <c r="E147" s="70">
        <f>55+3</f>
        <v>58</v>
      </c>
      <c r="F147" s="71">
        <v>142</v>
      </c>
      <c r="G147" s="70">
        <v>66</v>
      </c>
      <c r="H147" s="70">
        <v>90</v>
      </c>
      <c r="I147" s="70">
        <v>90</v>
      </c>
      <c r="J147" s="70">
        <v>325</v>
      </c>
      <c r="K147" s="70">
        <v>144</v>
      </c>
      <c r="L147" s="70">
        <v>85</v>
      </c>
      <c r="M147" s="70">
        <v>60</v>
      </c>
      <c r="N147" s="70">
        <v>79</v>
      </c>
      <c r="O147" s="72">
        <f t="shared" si="12"/>
        <v>1215</v>
      </c>
      <c r="P147" s="73">
        <f t="shared" si="13"/>
        <v>0.01936190183276735</v>
      </c>
      <c r="R147" s="4"/>
      <c r="S147" s="4"/>
      <c r="T147" s="4"/>
      <c r="U147" s="4"/>
    </row>
    <row r="148" spans="1:21" ht="10.5" customHeight="1">
      <c r="A148" s="69">
        <v>30</v>
      </c>
      <c r="B148" s="69" t="s">
        <v>102</v>
      </c>
      <c r="C148" s="70">
        <v>45</v>
      </c>
      <c r="D148" s="70">
        <v>36</v>
      </c>
      <c r="E148" s="70">
        <f>54+2</f>
        <v>56</v>
      </c>
      <c r="F148" s="71">
        <v>103</v>
      </c>
      <c r="G148" s="70">
        <v>35</v>
      </c>
      <c r="H148" s="70">
        <v>32</v>
      </c>
      <c r="I148" s="70">
        <v>32</v>
      </c>
      <c r="J148" s="70">
        <v>164</v>
      </c>
      <c r="K148" s="70">
        <v>106</v>
      </c>
      <c r="L148" s="70">
        <f>64+3</f>
        <v>67</v>
      </c>
      <c r="M148" s="70">
        <v>46</v>
      </c>
      <c r="N148" s="70">
        <v>73</v>
      </c>
      <c r="O148" s="72">
        <f t="shared" si="12"/>
        <v>795</v>
      </c>
      <c r="P148" s="73">
        <f t="shared" si="13"/>
        <v>0.01266889873008234</v>
      </c>
      <c r="R148" s="4"/>
      <c r="S148" s="4"/>
      <c r="T148" s="4"/>
      <c r="U148" s="4"/>
    </row>
    <row r="149" spans="1:21" ht="10.5" customHeight="1">
      <c r="A149" s="64">
        <v>31</v>
      </c>
      <c r="B149" s="69" t="s">
        <v>181</v>
      </c>
      <c r="C149" s="70">
        <v>72</v>
      </c>
      <c r="D149" s="70">
        <v>56</v>
      </c>
      <c r="E149" s="70">
        <f>57+11</f>
        <v>68</v>
      </c>
      <c r="F149" s="71">
        <f>76+1</f>
        <v>77</v>
      </c>
      <c r="G149" s="70">
        <v>72</v>
      </c>
      <c r="H149" s="70">
        <v>92</v>
      </c>
      <c r="I149" s="70">
        <v>92</v>
      </c>
      <c r="J149" s="70">
        <v>99</v>
      </c>
      <c r="K149" s="70">
        <v>103</v>
      </c>
      <c r="L149" s="70">
        <f>99+3</f>
        <v>102</v>
      </c>
      <c r="M149" s="70">
        <v>70</v>
      </c>
      <c r="N149" s="70">
        <v>65</v>
      </c>
      <c r="O149" s="72">
        <f t="shared" si="12"/>
        <v>968</v>
      </c>
      <c r="P149" s="73">
        <f t="shared" si="13"/>
        <v>0.015425778579521642</v>
      </c>
      <c r="R149" s="4"/>
      <c r="S149" s="4"/>
      <c r="T149" s="4"/>
      <c r="U149" s="4"/>
    </row>
    <row r="150" spans="1:21" ht="10.5" customHeight="1">
      <c r="A150" s="69">
        <v>32</v>
      </c>
      <c r="B150" s="69" t="s">
        <v>184</v>
      </c>
      <c r="C150" s="70">
        <v>1</v>
      </c>
      <c r="D150" s="70">
        <v>1</v>
      </c>
      <c r="E150" s="70">
        <v>2</v>
      </c>
      <c r="F150" s="71">
        <v>5</v>
      </c>
      <c r="G150" s="70">
        <v>2</v>
      </c>
      <c r="H150" s="70">
        <v>10</v>
      </c>
      <c r="I150" s="70">
        <v>10</v>
      </c>
      <c r="J150" s="70">
        <v>17</v>
      </c>
      <c r="K150" s="70">
        <v>3</v>
      </c>
      <c r="L150" s="70">
        <v>2</v>
      </c>
      <c r="M150" s="70">
        <v>4</v>
      </c>
      <c r="N150" s="70">
        <v>4</v>
      </c>
      <c r="O150" s="72">
        <f t="shared" si="12"/>
        <v>61</v>
      </c>
      <c r="P150" s="73">
        <f t="shared" si="13"/>
        <v>0.0009720790220566324</v>
      </c>
      <c r="R150" s="4"/>
      <c r="S150" s="4"/>
      <c r="T150" s="4"/>
      <c r="U150" s="4"/>
    </row>
    <row r="151" spans="1:21" ht="10.5" customHeight="1">
      <c r="A151" s="64">
        <v>33</v>
      </c>
      <c r="B151" s="69" t="s">
        <v>212</v>
      </c>
      <c r="C151" s="70">
        <f>13+2</f>
        <v>15</v>
      </c>
      <c r="D151" s="70">
        <v>13</v>
      </c>
      <c r="E151" s="70">
        <f>13+3</f>
        <v>16</v>
      </c>
      <c r="F151" s="71">
        <v>13</v>
      </c>
      <c r="G151" s="70">
        <v>11</v>
      </c>
      <c r="H151" s="70">
        <v>10</v>
      </c>
      <c r="I151" s="70">
        <v>10</v>
      </c>
      <c r="J151" s="70">
        <v>18</v>
      </c>
      <c r="K151" s="70">
        <v>25</v>
      </c>
      <c r="L151" s="70">
        <f>11+1</f>
        <v>12</v>
      </c>
      <c r="M151" s="70">
        <v>16</v>
      </c>
      <c r="N151" s="70">
        <f>12+4</f>
        <v>16</v>
      </c>
      <c r="O151" s="72">
        <f t="shared" si="12"/>
        <v>175</v>
      </c>
      <c r="P151" s="73">
        <f t="shared" si="13"/>
        <v>0.002788751292785421</v>
      </c>
      <c r="R151" s="4"/>
      <c r="S151" s="4"/>
      <c r="T151" s="4"/>
      <c r="U151" s="4"/>
    </row>
    <row r="152" spans="1:21" ht="10.5" customHeight="1">
      <c r="A152" s="69">
        <v>34</v>
      </c>
      <c r="B152" s="69" t="s">
        <v>103</v>
      </c>
      <c r="C152" s="70">
        <f>1044+2+3+1</f>
        <v>1050</v>
      </c>
      <c r="D152" s="70">
        <v>1508</v>
      </c>
      <c r="E152" s="70">
        <f>1433+12+14+1</f>
        <v>1460</v>
      </c>
      <c r="F152" s="71">
        <f>1800+7</f>
        <v>1807</v>
      </c>
      <c r="G152" s="70">
        <v>743</v>
      </c>
      <c r="H152" s="70">
        <v>2128</v>
      </c>
      <c r="I152" s="70">
        <v>2128</v>
      </c>
      <c r="J152" s="70">
        <v>1019</v>
      </c>
      <c r="K152" s="70">
        <f>1076+2</f>
        <v>1078</v>
      </c>
      <c r="L152" s="70">
        <v>1254</v>
      </c>
      <c r="M152" s="70">
        <v>1124</v>
      </c>
      <c r="N152" s="70">
        <f>1637+3+4+7</f>
        <v>1651</v>
      </c>
      <c r="O152" s="72">
        <f t="shared" si="12"/>
        <v>16950</v>
      </c>
      <c r="P152" s="73">
        <f t="shared" si="13"/>
        <v>0.2701104823583593</v>
      </c>
      <c r="R152" s="4"/>
      <c r="S152" s="4"/>
      <c r="T152" s="4"/>
      <c r="U152" s="4"/>
    </row>
    <row r="153" spans="1:21" ht="10.5" customHeight="1">
      <c r="A153" s="64">
        <v>35</v>
      </c>
      <c r="B153" s="69" t="s">
        <v>65</v>
      </c>
      <c r="C153" s="70">
        <f>2159+2+6+7</f>
        <v>2174</v>
      </c>
      <c r="D153" s="70">
        <v>1678</v>
      </c>
      <c r="E153" s="70">
        <f>1506+7+16</f>
        <v>1529</v>
      </c>
      <c r="F153" s="71">
        <v>2595</v>
      </c>
      <c r="G153" s="70">
        <v>1901</v>
      </c>
      <c r="H153" s="70">
        <v>2419</v>
      </c>
      <c r="I153" s="70">
        <v>2419</v>
      </c>
      <c r="J153" s="70">
        <v>3305</v>
      </c>
      <c r="K153" s="70">
        <v>2719</v>
      </c>
      <c r="L153" s="70">
        <f>3084+10</f>
        <v>3094</v>
      </c>
      <c r="M153" s="70">
        <v>2181</v>
      </c>
      <c r="N153" s="70">
        <f>2864+2+24+2</f>
        <v>2892</v>
      </c>
      <c r="O153" s="72">
        <f t="shared" si="12"/>
        <v>28906</v>
      </c>
      <c r="P153" s="73">
        <f t="shared" si="13"/>
        <v>0.4606379706814593</v>
      </c>
      <c r="R153" s="4"/>
      <c r="S153" s="4"/>
      <c r="T153" s="4"/>
      <c r="U153" s="4"/>
    </row>
    <row r="154" spans="1:23" ht="10.5" customHeight="1">
      <c r="A154" s="69">
        <v>36</v>
      </c>
      <c r="B154" s="69" t="s">
        <v>166</v>
      </c>
      <c r="C154" s="70">
        <v>7830</v>
      </c>
      <c r="D154" s="70">
        <v>9570</v>
      </c>
      <c r="E154" s="70">
        <f>10672+13</f>
        <v>10685</v>
      </c>
      <c r="F154" s="71">
        <f>15948+2-53</f>
        <v>15897</v>
      </c>
      <c r="G154" s="70">
        <f>15831</f>
        <v>15831</v>
      </c>
      <c r="H154" s="70">
        <f>15645</f>
        <v>15645</v>
      </c>
      <c r="I154" s="70">
        <f>15686-36+11214</f>
        <v>26864</v>
      </c>
      <c r="J154" s="70">
        <f>35942</f>
        <v>35942</v>
      </c>
      <c r="K154" s="70">
        <f>22465+1+1192</f>
        <v>23658</v>
      </c>
      <c r="L154" s="70">
        <f>22956+2+784</f>
        <v>23742</v>
      </c>
      <c r="M154" s="70">
        <f>13320-125</f>
        <v>13195</v>
      </c>
      <c r="N154" s="70">
        <v>10116</v>
      </c>
      <c r="O154" s="72">
        <f t="shared" si="12"/>
        <v>208975</v>
      </c>
      <c r="P154" s="73">
        <f t="shared" si="13"/>
        <v>3.330167436627619</v>
      </c>
      <c r="Q154" s="7">
        <f>198883-O154</f>
        <v>-10092</v>
      </c>
      <c r="R154" s="4"/>
      <c r="S154" s="12"/>
      <c r="T154" s="4"/>
      <c r="U154" s="4"/>
      <c r="W154" s="7"/>
    </row>
    <row r="155" spans="1:21" ht="10.5" customHeight="1">
      <c r="A155" s="64">
        <v>37</v>
      </c>
      <c r="B155" s="69" t="s">
        <v>104</v>
      </c>
      <c r="C155" s="70">
        <f>1674+4+1+3+1</f>
        <v>1683</v>
      </c>
      <c r="D155" s="70">
        <f>1931+1</f>
        <v>1932</v>
      </c>
      <c r="E155" s="70">
        <f>2028+9+21</f>
        <v>2058</v>
      </c>
      <c r="F155" s="71">
        <v>2487</v>
      </c>
      <c r="G155" s="70">
        <v>2204</v>
      </c>
      <c r="H155" s="70">
        <v>2349</v>
      </c>
      <c r="I155" s="70">
        <v>2349</v>
      </c>
      <c r="J155" s="70">
        <v>3194</v>
      </c>
      <c r="K155" s="70">
        <f>3769</f>
        <v>3769</v>
      </c>
      <c r="L155" s="70">
        <f>3055+3</f>
        <v>3058</v>
      </c>
      <c r="M155" s="70">
        <v>3064</v>
      </c>
      <c r="N155" s="70">
        <f>2113+7+3+7+4</f>
        <v>2134</v>
      </c>
      <c r="O155" s="72">
        <f t="shared" si="12"/>
        <v>30281</v>
      </c>
      <c r="P155" s="73">
        <f t="shared" si="13"/>
        <v>0.4825495879819161</v>
      </c>
      <c r="R155" s="4"/>
      <c r="S155" s="4"/>
      <c r="T155" s="4"/>
      <c r="U155" s="4"/>
    </row>
    <row r="156" spans="1:21" ht="10.5" customHeight="1">
      <c r="A156" s="69">
        <v>38</v>
      </c>
      <c r="B156" s="69" t="s">
        <v>213</v>
      </c>
      <c r="C156" s="70">
        <v>20</v>
      </c>
      <c r="D156" s="70">
        <v>7</v>
      </c>
      <c r="E156" s="70">
        <v>9</v>
      </c>
      <c r="F156" s="71">
        <v>13</v>
      </c>
      <c r="G156" s="70">
        <v>9</v>
      </c>
      <c r="H156" s="70">
        <v>9</v>
      </c>
      <c r="I156" s="70">
        <v>9</v>
      </c>
      <c r="J156" s="70">
        <v>1</v>
      </c>
      <c r="K156" s="70">
        <v>1</v>
      </c>
      <c r="L156" s="70">
        <v>2</v>
      </c>
      <c r="M156" s="70">
        <v>0</v>
      </c>
      <c r="N156" s="70">
        <v>0</v>
      </c>
      <c r="O156" s="72">
        <f t="shared" si="12"/>
        <v>80</v>
      </c>
      <c r="P156" s="73">
        <f t="shared" si="13"/>
        <v>0.0012748577338447637</v>
      </c>
      <c r="R156" s="4"/>
      <c r="S156" s="4"/>
      <c r="T156" s="4"/>
      <c r="U156" s="4"/>
    </row>
    <row r="157" spans="1:21" ht="10.5" customHeight="1">
      <c r="A157" s="64">
        <v>39</v>
      </c>
      <c r="B157" s="69" t="s">
        <v>53</v>
      </c>
      <c r="C157" s="70">
        <v>16400</v>
      </c>
      <c r="D157" s="70">
        <v>11620</v>
      </c>
      <c r="E157" s="70">
        <f>13892+13</f>
        <v>13905</v>
      </c>
      <c r="F157" s="71">
        <f>12564+1-12</f>
        <v>12553</v>
      </c>
      <c r="G157" s="70">
        <v>9346</v>
      </c>
      <c r="H157" s="70">
        <f>7689-13</f>
        <v>7676</v>
      </c>
      <c r="I157" s="70">
        <f>7689-13+371</f>
        <v>8047</v>
      </c>
      <c r="J157" s="70">
        <v>8235</v>
      </c>
      <c r="K157" s="70">
        <f>9384+147</f>
        <v>9531</v>
      </c>
      <c r="L157" s="70">
        <f>11740+7+249</f>
        <v>11996</v>
      </c>
      <c r="M157" s="70">
        <f>14602+27</f>
        <v>14629</v>
      </c>
      <c r="N157" s="70">
        <v>19300</v>
      </c>
      <c r="O157" s="72">
        <f t="shared" si="12"/>
        <v>143238</v>
      </c>
      <c r="P157" s="73">
        <f t="shared" si="13"/>
        <v>2.2826009010057033</v>
      </c>
      <c r="Q157" s="7">
        <f>124077-O157</f>
        <v>-19161</v>
      </c>
      <c r="R157" s="4"/>
      <c r="S157" s="12"/>
      <c r="T157" s="4"/>
      <c r="U157" s="4"/>
    </row>
    <row r="158" spans="1:21" ht="10.5" customHeight="1">
      <c r="A158" s="69">
        <v>40</v>
      </c>
      <c r="B158" s="69" t="s">
        <v>66</v>
      </c>
      <c r="C158" s="70">
        <f>1130+1+1+24+4</f>
        <v>1160</v>
      </c>
      <c r="D158" s="70">
        <f>867+4</f>
        <v>871</v>
      </c>
      <c r="E158" s="70">
        <f>1080+2+41</f>
        <v>1123</v>
      </c>
      <c r="F158" s="71">
        <v>1085</v>
      </c>
      <c r="G158" s="70">
        <f>1121+1</f>
        <v>1122</v>
      </c>
      <c r="H158" s="70">
        <v>1262</v>
      </c>
      <c r="I158" s="70">
        <v>1262</v>
      </c>
      <c r="J158" s="70">
        <v>1374</v>
      </c>
      <c r="K158" s="70">
        <v>1680</v>
      </c>
      <c r="L158" s="70">
        <f>1458+1</f>
        <v>1459</v>
      </c>
      <c r="M158" s="70">
        <v>1244</v>
      </c>
      <c r="N158" s="70">
        <f>1510+6+6+27+17</f>
        <v>1566</v>
      </c>
      <c r="O158" s="72">
        <f t="shared" si="12"/>
        <v>15208</v>
      </c>
      <c r="P158" s="73">
        <f t="shared" si="13"/>
        <v>0.2423504552038896</v>
      </c>
      <c r="R158" s="4"/>
      <c r="S158" s="4"/>
      <c r="T158" s="4"/>
      <c r="U158" s="4"/>
    </row>
    <row r="159" spans="1:21" ht="10.5" customHeight="1">
      <c r="A159" s="64">
        <v>41</v>
      </c>
      <c r="B159" s="69" t="s">
        <v>54</v>
      </c>
      <c r="C159" s="70">
        <v>0</v>
      </c>
      <c r="D159" s="70">
        <v>0</v>
      </c>
      <c r="E159" s="70">
        <v>0</v>
      </c>
      <c r="F159" s="71"/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2">
        <f t="shared" si="12"/>
        <v>0</v>
      </c>
      <c r="P159" s="73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9">
        <v>42</v>
      </c>
      <c r="B160" s="69" t="s">
        <v>105</v>
      </c>
      <c r="C160" s="70">
        <v>175</v>
      </c>
      <c r="D160" s="70">
        <v>206</v>
      </c>
      <c r="E160" s="70">
        <f>144+1</f>
        <v>145</v>
      </c>
      <c r="F160" s="71">
        <v>229</v>
      </c>
      <c r="G160" s="70">
        <v>136</v>
      </c>
      <c r="H160" s="70">
        <v>201</v>
      </c>
      <c r="I160" s="70">
        <v>201</v>
      </c>
      <c r="J160" s="70">
        <v>190</v>
      </c>
      <c r="K160" s="70">
        <v>254</v>
      </c>
      <c r="L160" s="70">
        <f>397+1</f>
        <v>398</v>
      </c>
      <c r="M160" s="70">
        <v>376</v>
      </c>
      <c r="N160" s="70">
        <f>420+1+1+2</f>
        <v>424</v>
      </c>
      <c r="O160" s="72">
        <f t="shared" si="12"/>
        <v>2935</v>
      </c>
      <c r="P160" s="73">
        <f t="shared" si="13"/>
        <v>0.04677134311042977</v>
      </c>
      <c r="R160" s="4"/>
      <c r="S160" s="4"/>
      <c r="T160" s="4"/>
      <c r="U160" s="4"/>
    </row>
    <row r="161" spans="1:21" ht="10.5" customHeight="1">
      <c r="A161" s="64">
        <v>43</v>
      </c>
      <c r="B161" s="69" t="s">
        <v>106</v>
      </c>
      <c r="C161" s="70">
        <v>507</v>
      </c>
      <c r="D161" s="70">
        <f>570+10</f>
        <v>580</v>
      </c>
      <c r="E161" s="70">
        <v>726</v>
      </c>
      <c r="F161" s="71">
        <v>733</v>
      </c>
      <c r="G161" s="70">
        <v>581</v>
      </c>
      <c r="H161" s="70">
        <v>539</v>
      </c>
      <c r="I161" s="70">
        <v>539</v>
      </c>
      <c r="J161" s="70">
        <v>546</v>
      </c>
      <c r="K161" s="70">
        <v>559</v>
      </c>
      <c r="L161" s="70">
        <v>796</v>
      </c>
      <c r="M161" s="70">
        <v>732</v>
      </c>
      <c r="N161" s="70">
        <v>627</v>
      </c>
      <c r="O161" s="72">
        <f t="shared" si="12"/>
        <v>7465</v>
      </c>
      <c r="P161" s="73">
        <f aca="true" t="shared" si="14" ref="P161:P196">O161/$O$196*100</f>
        <v>0.1189601622893895</v>
      </c>
      <c r="R161" s="4"/>
      <c r="S161" s="4"/>
      <c r="T161" s="4"/>
      <c r="U161" s="4"/>
    </row>
    <row r="162" spans="1:21" ht="10.5" customHeight="1">
      <c r="A162" s="69">
        <v>44</v>
      </c>
      <c r="B162" s="69" t="s">
        <v>107</v>
      </c>
      <c r="C162" s="70">
        <v>3226</v>
      </c>
      <c r="D162" s="70">
        <v>3946</v>
      </c>
      <c r="E162" s="70">
        <f>3966+19</f>
        <v>3985</v>
      </c>
      <c r="F162" s="71">
        <f>3220+2-5</f>
        <v>3217</v>
      </c>
      <c r="G162" s="70">
        <v>1660</v>
      </c>
      <c r="H162" s="70">
        <f>2460-20</f>
        <v>2440</v>
      </c>
      <c r="I162" s="70">
        <f>2460-20+437</f>
        <v>2877</v>
      </c>
      <c r="J162" s="70">
        <v>1574</v>
      </c>
      <c r="K162" s="70">
        <f>1949+52</f>
        <v>2001</v>
      </c>
      <c r="L162" s="70">
        <f>3010+2+99</f>
        <v>3111</v>
      </c>
      <c r="M162" s="70">
        <f>2532+15</f>
        <v>2547</v>
      </c>
      <c r="N162" s="70">
        <v>5682</v>
      </c>
      <c r="O162" s="72">
        <f t="shared" si="12"/>
        <v>36266</v>
      </c>
      <c r="P162" s="73">
        <f t="shared" si="14"/>
        <v>0.5779248821951776</v>
      </c>
      <c r="Q162" s="7">
        <f>30584-O162</f>
        <v>-5682</v>
      </c>
      <c r="R162" s="4"/>
      <c r="S162" s="4"/>
      <c r="T162" s="4"/>
      <c r="U162" s="4"/>
    </row>
    <row r="163" spans="1:21" ht="10.5" customHeight="1">
      <c r="A163" s="64">
        <v>45</v>
      </c>
      <c r="B163" s="69" t="s">
        <v>108</v>
      </c>
      <c r="C163" s="70">
        <f>2071+9+11</f>
        <v>2091</v>
      </c>
      <c r="D163" s="70">
        <v>2339</v>
      </c>
      <c r="E163" s="70">
        <f>2606+6+8+7</f>
        <v>2627</v>
      </c>
      <c r="F163" s="71">
        <v>3799</v>
      </c>
      <c r="G163" s="70">
        <v>3487</v>
      </c>
      <c r="H163" s="70">
        <v>4490</v>
      </c>
      <c r="I163" s="70">
        <f>4490+1862</f>
        <v>6352</v>
      </c>
      <c r="J163" s="70">
        <f>10125+846</f>
        <v>10971</v>
      </c>
      <c r="K163" s="70">
        <f>6112+1</f>
        <v>6113</v>
      </c>
      <c r="L163" s="70">
        <f>5515+3</f>
        <v>5518</v>
      </c>
      <c r="M163" s="70">
        <v>4727</v>
      </c>
      <c r="N163" s="70">
        <f>3891+13+12+1</f>
        <v>3917</v>
      </c>
      <c r="O163" s="72">
        <f t="shared" si="12"/>
        <v>56431</v>
      </c>
      <c r="P163" s="73">
        <f t="shared" si="14"/>
        <v>0.8992687097324233</v>
      </c>
      <c r="Q163" s="7"/>
      <c r="R163" s="4"/>
      <c r="S163" s="4"/>
      <c r="T163" s="4"/>
      <c r="U163" s="4"/>
    </row>
    <row r="164" spans="1:21" ht="10.5" customHeight="1">
      <c r="A164" s="69">
        <v>46</v>
      </c>
      <c r="B164" s="69" t="s">
        <v>109</v>
      </c>
      <c r="C164" s="70">
        <f>1563+21+19+1</f>
        <v>1604</v>
      </c>
      <c r="D164" s="70">
        <f>1656+4</f>
        <v>1660</v>
      </c>
      <c r="E164" s="70">
        <f>1904+22+20+2</f>
        <v>1948</v>
      </c>
      <c r="F164" s="71">
        <v>3683</v>
      </c>
      <c r="G164" s="70">
        <v>2818</v>
      </c>
      <c r="H164" s="70">
        <v>2893</v>
      </c>
      <c r="I164" s="70">
        <v>2893</v>
      </c>
      <c r="J164" s="70">
        <v>3742</v>
      </c>
      <c r="K164" s="70">
        <v>3904</v>
      </c>
      <c r="L164" s="70">
        <v>4406</v>
      </c>
      <c r="M164" s="70">
        <v>2345</v>
      </c>
      <c r="N164" s="70">
        <f>2597+1+1</f>
        <v>2599</v>
      </c>
      <c r="O164" s="72">
        <f t="shared" si="12"/>
        <v>34495</v>
      </c>
      <c r="P164" s="73">
        <f t="shared" si="14"/>
        <v>0.549702719112189</v>
      </c>
      <c r="R164" s="4"/>
      <c r="S164" s="4"/>
      <c r="T164" s="4"/>
      <c r="U164" s="4"/>
    </row>
    <row r="165" spans="1:21" ht="10.5" customHeight="1">
      <c r="A165" s="64">
        <v>47</v>
      </c>
      <c r="B165" s="69" t="s">
        <v>37</v>
      </c>
      <c r="C165" s="70">
        <v>0</v>
      </c>
      <c r="D165" s="70">
        <v>0</v>
      </c>
      <c r="E165" s="70">
        <v>0</v>
      </c>
      <c r="F165" s="71">
        <v>4</v>
      </c>
      <c r="G165" s="70">
        <v>0</v>
      </c>
      <c r="H165" s="70">
        <v>4</v>
      </c>
      <c r="I165" s="70">
        <v>4</v>
      </c>
      <c r="J165" s="70">
        <v>4</v>
      </c>
      <c r="K165" s="70">
        <v>1</v>
      </c>
      <c r="L165" s="70">
        <v>1</v>
      </c>
      <c r="M165" s="70">
        <v>0</v>
      </c>
      <c r="N165" s="70">
        <v>0</v>
      </c>
      <c r="O165" s="72">
        <f t="shared" si="12"/>
        <v>18</v>
      </c>
      <c r="P165" s="73">
        <f t="shared" si="14"/>
        <v>0.00028684299011507184</v>
      </c>
      <c r="R165" s="4"/>
      <c r="S165" s="4"/>
      <c r="T165" s="4"/>
      <c r="U165" s="4"/>
    </row>
    <row r="166" spans="1:21" ht="10.5" customHeight="1">
      <c r="A166" s="69">
        <v>48</v>
      </c>
      <c r="B166" s="69" t="s">
        <v>198</v>
      </c>
      <c r="C166" s="20">
        <f>304+16+2</f>
        <v>322</v>
      </c>
      <c r="D166" s="20">
        <f>278+1</f>
        <v>279</v>
      </c>
      <c r="E166" s="70">
        <f>221+28+18</f>
        <v>267</v>
      </c>
      <c r="F166" s="71">
        <v>406</v>
      </c>
      <c r="G166" s="70">
        <v>343</v>
      </c>
      <c r="H166" s="70">
        <v>354</v>
      </c>
      <c r="I166" s="70">
        <v>354</v>
      </c>
      <c r="J166" s="70">
        <v>494</v>
      </c>
      <c r="K166" s="70">
        <v>591</v>
      </c>
      <c r="L166" s="70">
        <f>377+10</f>
        <v>387</v>
      </c>
      <c r="M166" s="70">
        <v>307</v>
      </c>
      <c r="N166" s="70">
        <f>269+64+23</f>
        <v>356</v>
      </c>
      <c r="O166" s="72">
        <f t="shared" si="12"/>
        <v>4460</v>
      </c>
      <c r="P166" s="73">
        <f t="shared" si="14"/>
        <v>0.07107331866184557</v>
      </c>
      <c r="R166" s="4"/>
      <c r="S166" s="4"/>
      <c r="T166" s="4"/>
      <c r="U166" s="4"/>
    </row>
    <row r="167" spans="1:21" ht="10.5" customHeight="1">
      <c r="A167" s="64">
        <v>49</v>
      </c>
      <c r="B167" s="69" t="s">
        <v>110</v>
      </c>
      <c r="C167" s="70">
        <v>24</v>
      </c>
      <c r="D167" s="70">
        <v>12</v>
      </c>
      <c r="E167" s="70">
        <v>16</v>
      </c>
      <c r="F167" s="71">
        <v>13</v>
      </c>
      <c r="G167" s="70">
        <v>14</v>
      </c>
      <c r="H167" s="70">
        <v>22</v>
      </c>
      <c r="I167" s="70">
        <v>22</v>
      </c>
      <c r="J167" s="70">
        <v>17</v>
      </c>
      <c r="K167" s="70">
        <v>8</v>
      </c>
      <c r="L167" s="70">
        <v>32</v>
      </c>
      <c r="M167" s="70">
        <v>6</v>
      </c>
      <c r="N167" s="70">
        <v>24</v>
      </c>
      <c r="O167" s="72">
        <f t="shared" si="12"/>
        <v>210</v>
      </c>
      <c r="P167" s="73">
        <f t="shared" si="14"/>
        <v>0.003346501551342505</v>
      </c>
      <c r="R167" s="4"/>
      <c r="S167" s="4"/>
      <c r="T167" s="4"/>
      <c r="U167" s="4"/>
    </row>
    <row r="168" spans="1:21" ht="10.5" customHeight="1">
      <c r="A168" s="69">
        <v>50</v>
      </c>
      <c r="B168" s="69" t="s">
        <v>111</v>
      </c>
      <c r="C168" s="70">
        <f>4022+6+8+82+35</f>
        <v>4153</v>
      </c>
      <c r="D168" s="70">
        <f>3182+5</f>
        <v>3187</v>
      </c>
      <c r="E168" s="70">
        <f>2660+1+3+53+45</f>
        <v>2762</v>
      </c>
      <c r="F168" s="71">
        <f>2033+9</f>
        <v>2042</v>
      </c>
      <c r="G168" s="70">
        <f>1860+1</f>
        <v>1861</v>
      </c>
      <c r="H168" s="70">
        <v>1597</v>
      </c>
      <c r="I168" s="70">
        <v>1597</v>
      </c>
      <c r="J168" s="70">
        <v>1240</v>
      </c>
      <c r="K168" s="70">
        <v>1856</v>
      </c>
      <c r="L168" s="70">
        <f>2302+24</f>
        <v>2326</v>
      </c>
      <c r="M168" s="70">
        <v>2772</v>
      </c>
      <c r="N168" s="70">
        <f>3815+13+17+79+61</f>
        <v>3985</v>
      </c>
      <c r="O168" s="72">
        <f t="shared" si="12"/>
        <v>29378</v>
      </c>
      <c r="P168" s="73">
        <f t="shared" si="14"/>
        <v>0.4681596313111434</v>
      </c>
      <c r="R168" s="4"/>
      <c r="S168" s="4"/>
      <c r="T168" s="4"/>
      <c r="U168" s="4"/>
    </row>
    <row r="169" spans="1:21" ht="10.5" customHeight="1">
      <c r="A169" s="64">
        <v>51</v>
      </c>
      <c r="B169" s="69" t="s">
        <v>112</v>
      </c>
      <c r="C169" s="70">
        <f>410+9+1</f>
        <v>420</v>
      </c>
      <c r="D169" s="70">
        <v>153</v>
      </c>
      <c r="E169" s="70">
        <f>121+1</f>
        <v>122</v>
      </c>
      <c r="F169" s="71">
        <v>101</v>
      </c>
      <c r="G169" s="70">
        <v>96</v>
      </c>
      <c r="H169" s="70">
        <v>146</v>
      </c>
      <c r="I169" s="70">
        <v>146</v>
      </c>
      <c r="J169" s="70">
        <v>248</v>
      </c>
      <c r="K169" s="70">
        <v>134</v>
      </c>
      <c r="L169" s="70">
        <v>90</v>
      </c>
      <c r="M169" s="70">
        <v>171</v>
      </c>
      <c r="N169" s="70">
        <f>307+6+4</f>
        <v>317</v>
      </c>
      <c r="O169" s="72">
        <f t="shared" si="12"/>
        <v>2144</v>
      </c>
      <c r="P169" s="73">
        <f t="shared" si="14"/>
        <v>0.03416618726703967</v>
      </c>
      <c r="R169" s="4"/>
      <c r="S169" s="4"/>
      <c r="T169" s="4"/>
      <c r="U169" s="4"/>
    </row>
    <row r="170" spans="1:21" ht="10.5" customHeight="1">
      <c r="A170" s="69">
        <v>52</v>
      </c>
      <c r="B170" s="69" t="s">
        <v>113</v>
      </c>
      <c r="C170" s="70">
        <v>0</v>
      </c>
      <c r="D170" s="70">
        <v>0</v>
      </c>
      <c r="E170" s="76">
        <v>0</v>
      </c>
      <c r="F170" s="71">
        <v>1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2">
        <f t="shared" si="12"/>
        <v>1</v>
      </c>
      <c r="P170" s="73">
        <f t="shared" si="14"/>
        <v>1.5935721673059547E-05</v>
      </c>
      <c r="R170" s="4"/>
      <c r="S170" s="4"/>
      <c r="T170" s="4"/>
      <c r="U170" s="4"/>
    </row>
    <row r="171" spans="1:21" ht="10.5" customHeight="1" thickBot="1">
      <c r="A171" s="64">
        <v>53</v>
      </c>
      <c r="B171" s="116" t="s">
        <v>216</v>
      </c>
      <c r="C171" s="77">
        <f>391+1</f>
        <v>392</v>
      </c>
      <c r="D171" s="77">
        <v>346</v>
      </c>
      <c r="E171" s="77">
        <f>304+2+15</f>
        <v>321</v>
      </c>
      <c r="F171" s="78">
        <v>476</v>
      </c>
      <c r="G171" s="77">
        <f>355+4</f>
        <v>359</v>
      </c>
      <c r="H171" s="77">
        <v>363</v>
      </c>
      <c r="I171" s="77">
        <v>363</v>
      </c>
      <c r="J171" s="77">
        <v>1163</v>
      </c>
      <c r="K171" s="77">
        <v>508</v>
      </c>
      <c r="L171" s="77">
        <v>604</v>
      </c>
      <c r="M171" s="77">
        <v>746</v>
      </c>
      <c r="N171" s="77">
        <f>888+5+3+2</f>
        <v>898</v>
      </c>
      <c r="O171" s="79">
        <f t="shared" si="12"/>
        <v>6539</v>
      </c>
      <c r="P171" s="80">
        <f t="shared" si="14"/>
        <v>0.10420368402013638</v>
      </c>
      <c r="R171" s="4"/>
      <c r="S171" s="4"/>
      <c r="T171" s="4"/>
      <c r="U171" s="4"/>
    </row>
    <row r="172" spans="1:21" ht="15" thickBot="1" thickTop="1">
      <c r="A172" s="59" t="s">
        <v>38</v>
      </c>
      <c r="B172" s="117" t="s">
        <v>39</v>
      </c>
      <c r="C172" s="60">
        <f aca="true" t="shared" si="15" ref="C172:I172">SUM(C173:C194)</f>
        <v>4182</v>
      </c>
      <c r="D172" s="60">
        <f t="shared" si="15"/>
        <v>3693</v>
      </c>
      <c r="E172" s="60">
        <f t="shared" si="15"/>
        <v>6260</v>
      </c>
      <c r="F172" s="60">
        <f t="shared" si="15"/>
        <v>4942</v>
      </c>
      <c r="G172" s="60">
        <f t="shared" si="15"/>
        <v>2348</v>
      </c>
      <c r="H172" s="60">
        <f t="shared" si="15"/>
        <v>9061</v>
      </c>
      <c r="I172" s="60">
        <f t="shared" si="15"/>
        <v>8729</v>
      </c>
      <c r="J172" s="60">
        <f>SUM(J173:J194)</f>
        <v>10068</v>
      </c>
      <c r="K172" s="60">
        <f>SUM(K173:K194)</f>
        <v>6623</v>
      </c>
      <c r="L172" s="60">
        <f>SUM(L173:L194)</f>
        <v>6356</v>
      </c>
      <c r="M172" s="60">
        <f>SUM(M173:M194)</f>
        <v>6984</v>
      </c>
      <c r="N172" s="60">
        <f>SUM(N173:N194)</f>
        <v>6413</v>
      </c>
      <c r="O172" s="41">
        <f t="shared" si="12"/>
        <v>75659</v>
      </c>
      <c r="P172" s="61">
        <f t="shared" si="14"/>
        <v>1.2056807660620121</v>
      </c>
      <c r="R172" s="4"/>
      <c r="S172" s="4"/>
      <c r="T172" s="4"/>
      <c r="U172" s="4"/>
    </row>
    <row r="173" spans="1:21" ht="14.25" thickTop="1">
      <c r="A173" s="62">
        <v>1</v>
      </c>
      <c r="B173" s="118" t="s">
        <v>197</v>
      </c>
      <c r="C173" s="44">
        <v>857</v>
      </c>
      <c r="D173" s="44">
        <v>646</v>
      </c>
      <c r="E173" s="44">
        <v>827</v>
      </c>
      <c r="F173" s="45">
        <v>692</v>
      </c>
      <c r="G173" s="44">
        <v>155</v>
      </c>
      <c r="H173" s="44">
        <v>2701</v>
      </c>
      <c r="I173" s="44">
        <v>2213</v>
      </c>
      <c r="J173" s="44">
        <v>2514</v>
      </c>
      <c r="K173" s="44">
        <v>1120</v>
      </c>
      <c r="L173" s="44">
        <v>921</v>
      </c>
      <c r="M173" s="44">
        <v>1226</v>
      </c>
      <c r="N173" s="44">
        <f>1245+1</f>
        <v>1246</v>
      </c>
      <c r="O173" s="46">
        <f t="shared" si="12"/>
        <v>15118</v>
      </c>
      <c r="P173" s="47">
        <f t="shared" si="14"/>
        <v>0.24091624025331426</v>
      </c>
      <c r="Q173" s="7"/>
      <c r="R173" s="4"/>
      <c r="S173" s="3"/>
      <c r="T173" s="4"/>
      <c r="U173" s="4"/>
    </row>
    <row r="174" spans="1:21" ht="13.5">
      <c r="A174" s="62">
        <v>2</v>
      </c>
      <c r="B174" s="19" t="s">
        <v>122</v>
      </c>
      <c r="C174" s="20">
        <v>3</v>
      </c>
      <c r="D174" s="20">
        <v>3</v>
      </c>
      <c r="E174" s="20">
        <v>2</v>
      </c>
      <c r="F174" s="21">
        <v>2</v>
      </c>
      <c r="G174" s="20">
        <v>2</v>
      </c>
      <c r="H174" s="20">
        <v>2</v>
      </c>
      <c r="I174" s="20">
        <v>9</v>
      </c>
      <c r="J174" s="20">
        <v>10</v>
      </c>
      <c r="K174" s="20">
        <v>5</v>
      </c>
      <c r="L174" s="20">
        <v>5</v>
      </c>
      <c r="M174" s="20">
        <v>11</v>
      </c>
      <c r="N174" s="20">
        <v>1</v>
      </c>
      <c r="O174" s="22">
        <f t="shared" si="12"/>
        <v>55</v>
      </c>
      <c r="P174" s="23">
        <f t="shared" si="14"/>
        <v>0.0008764646920182751</v>
      </c>
      <c r="R174" s="4"/>
      <c r="S174" s="4"/>
      <c r="T174" s="4"/>
      <c r="U174" s="4"/>
    </row>
    <row r="175" spans="1:21" ht="13.5">
      <c r="A175" s="62">
        <v>3</v>
      </c>
      <c r="B175" s="125" t="s">
        <v>131</v>
      </c>
      <c r="C175" s="20">
        <v>38</v>
      </c>
      <c r="D175" s="20">
        <v>35</v>
      </c>
      <c r="E175" s="20">
        <v>42</v>
      </c>
      <c r="F175" s="21">
        <v>56</v>
      </c>
      <c r="G175" s="20">
        <v>12</v>
      </c>
      <c r="H175" s="20">
        <v>70</v>
      </c>
      <c r="I175" s="20">
        <v>127</v>
      </c>
      <c r="J175" s="20">
        <v>144</v>
      </c>
      <c r="K175" s="20">
        <v>86</v>
      </c>
      <c r="L175" s="20">
        <v>57</v>
      </c>
      <c r="M175" s="20">
        <v>123</v>
      </c>
      <c r="N175" s="20">
        <v>76</v>
      </c>
      <c r="O175" s="22">
        <f t="shared" si="12"/>
        <v>866</v>
      </c>
      <c r="P175" s="23">
        <f t="shared" si="14"/>
        <v>0.013800334968869569</v>
      </c>
      <c r="R175" s="4"/>
      <c r="S175" s="3"/>
      <c r="T175" s="4"/>
      <c r="U175" s="4"/>
    </row>
    <row r="176" spans="1:21" ht="13.5">
      <c r="A176" s="62">
        <v>4</v>
      </c>
      <c r="B176" s="69" t="s">
        <v>156</v>
      </c>
      <c r="C176" s="70">
        <v>53</v>
      </c>
      <c r="D176" s="70">
        <v>58</v>
      </c>
      <c r="E176" s="70">
        <v>48</v>
      </c>
      <c r="F176" s="71">
        <v>121</v>
      </c>
      <c r="G176" s="70">
        <v>72</v>
      </c>
      <c r="H176" s="70">
        <v>90</v>
      </c>
      <c r="I176" s="70">
        <v>273</v>
      </c>
      <c r="J176" s="70">
        <v>421</v>
      </c>
      <c r="K176" s="70">
        <v>133</v>
      </c>
      <c r="L176" s="70">
        <v>89</v>
      </c>
      <c r="M176" s="70">
        <v>100</v>
      </c>
      <c r="N176" s="70">
        <v>151</v>
      </c>
      <c r="O176" s="72">
        <f>SUM(C176:N176)</f>
        <v>1609</v>
      </c>
      <c r="P176" s="23">
        <f t="shared" si="14"/>
        <v>0.025640576171952815</v>
      </c>
      <c r="R176" s="4"/>
      <c r="S176" s="4"/>
      <c r="T176" s="4"/>
      <c r="U176" s="4"/>
    </row>
    <row r="177" spans="1:21" ht="13.5">
      <c r="A177" s="62">
        <v>5</v>
      </c>
      <c r="B177" s="83" t="s">
        <v>40</v>
      </c>
      <c r="C177" s="20">
        <v>0</v>
      </c>
      <c r="D177" s="20">
        <v>0</v>
      </c>
      <c r="E177" s="20">
        <v>0</v>
      </c>
      <c r="F177" s="21">
        <v>0</v>
      </c>
      <c r="G177" s="20">
        <v>0</v>
      </c>
      <c r="H177" s="20">
        <v>0</v>
      </c>
      <c r="I177" s="20"/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3.5">
      <c r="A178" s="62">
        <v>6</v>
      </c>
      <c r="B178" s="83" t="s">
        <v>59</v>
      </c>
      <c r="C178" s="20">
        <v>109</v>
      </c>
      <c r="D178" s="20">
        <v>103</v>
      </c>
      <c r="E178" s="20">
        <v>95</v>
      </c>
      <c r="F178" s="21">
        <v>103</v>
      </c>
      <c r="G178" s="20">
        <v>40</v>
      </c>
      <c r="H178" s="20">
        <v>113</v>
      </c>
      <c r="I178" s="20">
        <v>156</v>
      </c>
      <c r="J178" s="20">
        <v>257</v>
      </c>
      <c r="K178" s="20">
        <v>113</v>
      </c>
      <c r="L178" s="20">
        <v>107</v>
      </c>
      <c r="M178" s="20">
        <v>151</v>
      </c>
      <c r="N178" s="20">
        <v>144</v>
      </c>
      <c r="O178" s="22">
        <f t="shared" si="12"/>
        <v>1491</v>
      </c>
      <c r="P178" s="23">
        <f t="shared" si="14"/>
        <v>0.023760161014531784</v>
      </c>
      <c r="R178" s="4"/>
      <c r="S178" s="4"/>
      <c r="T178" s="4"/>
      <c r="U178" s="4"/>
    </row>
    <row r="179" spans="1:21" ht="13.5">
      <c r="A179" s="62">
        <v>7</v>
      </c>
      <c r="B179" s="19" t="s">
        <v>174</v>
      </c>
      <c r="C179" s="20">
        <v>283</v>
      </c>
      <c r="D179" s="20">
        <v>475</v>
      </c>
      <c r="E179" s="20">
        <v>2278</v>
      </c>
      <c r="F179" s="21">
        <v>265</v>
      </c>
      <c r="G179" s="20">
        <v>373</v>
      </c>
      <c r="H179" s="20">
        <v>391</v>
      </c>
      <c r="I179" s="20">
        <v>398</v>
      </c>
      <c r="J179" s="20">
        <v>656</v>
      </c>
      <c r="K179" s="20">
        <v>1003</v>
      </c>
      <c r="L179" s="20">
        <v>984</v>
      </c>
      <c r="M179" s="20">
        <v>618</v>
      </c>
      <c r="N179" s="20">
        <f>434+1</f>
        <v>435</v>
      </c>
      <c r="O179" s="22">
        <f t="shared" si="12"/>
        <v>8159</v>
      </c>
      <c r="P179" s="23">
        <f t="shared" si="14"/>
        <v>0.13001955313049285</v>
      </c>
      <c r="R179" s="4"/>
      <c r="S179" s="4"/>
      <c r="T179" s="4"/>
      <c r="U179" s="4"/>
    </row>
    <row r="180" spans="1:21" ht="13.5">
      <c r="A180" s="62">
        <v>8</v>
      </c>
      <c r="B180" s="119" t="s">
        <v>35</v>
      </c>
      <c r="C180" s="70">
        <v>0</v>
      </c>
      <c r="D180" s="70">
        <v>0</v>
      </c>
      <c r="E180" s="70">
        <v>1</v>
      </c>
      <c r="F180" s="71">
        <v>8</v>
      </c>
      <c r="G180" s="70">
        <v>0</v>
      </c>
      <c r="H180" s="70">
        <v>31</v>
      </c>
      <c r="I180" s="70">
        <v>66</v>
      </c>
      <c r="J180" s="70">
        <v>15</v>
      </c>
      <c r="K180" s="70">
        <v>67</v>
      </c>
      <c r="L180" s="70">
        <v>67</v>
      </c>
      <c r="M180" s="70">
        <v>4</v>
      </c>
      <c r="N180" s="70">
        <v>1</v>
      </c>
      <c r="O180" s="72">
        <f>SUM(C180:N180)</f>
        <v>260</v>
      </c>
      <c r="P180" s="23">
        <f t="shared" si="14"/>
        <v>0.004143287634995482</v>
      </c>
      <c r="R180" s="4"/>
      <c r="S180" s="4"/>
      <c r="T180" s="4"/>
      <c r="U180" s="4"/>
    </row>
    <row r="181" spans="1:21" ht="13.5">
      <c r="A181" s="62">
        <v>9</v>
      </c>
      <c r="B181" s="83" t="s">
        <v>176</v>
      </c>
      <c r="C181" s="20">
        <v>185</v>
      </c>
      <c r="D181" s="20">
        <v>134</v>
      </c>
      <c r="E181" s="20">
        <v>169</v>
      </c>
      <c r="F181" s="21">
        <v>216</v>
      </c>
      <c r="G181" s="20">
        <v>36</v>
      </c>
      <c r="H181" s="20">
        <v>345</v>
      </c>
      <c r="I181" s="20">
        <v>350</v>
      </c>
      <c r="J181" s="20">
        <v>556</v>
      </c>
      <c r="K181" s="20">
        <v>151</v>
      </c>
      <c r="L181" s="20">
        <v>137</v>
      </c>
      <c r="M181" s="20">
        <v>189</v>
      </c>
      <c r="N181" s="20">
        <v>213</v>
      </c>
      <c r="O181" s="22">
        <f>SUM(C181:N181)</f>
        <v>2681</v>
      </c>
      <c r="P181" s="23">
        <f>O181/$O$196*100</f>
        <v>0.042723669805472646</v>
      </c>
      <c r="R181" s="4"/>
      <c r="S181" s="4"/>
      <c r="T181" s="4"/>
      <c r="U181" s="4"/>
    </row>
    <row r="182" spans="1:21" ht="13.5">
      <c r="A182" s="62">
        <v>10</v>
      </c>
      <c r="B182" s="83" t="s">
        <v>114</v>
      </c>
      <c r="C182" s="81">
        <v>214</v>
      </c>
      <c r="D182" s="81">
        <v>172</v>
      </c>
      <c r="E182" s="81">
        <v>209</v>
      </c>
      <c r="F182" s="82">
        <v>390</v>
      </c>
      <c r="G182" s="81">
        <v>297</v>
      </c>
      <c r="H182" s="81">
        <v>535</v>
      </c>
      <c r="I182" s="81">
        <v>714</v>
      </c>
      <c r="J182" s="81">
        <v>891</v>
      </c>
      <c r="K182" s="81">
        <v>465</v>
      </c>
      <c r="L182" s="81">
        <v>225</v>
      </c>
      <c r="M182" s="81">
        <v>274</v>
      </c>
      <c r="N182" s="81">
        <v>287</v>
      </c>
      <c r="O182" s="22">
        <f t="shared" si="12"/>
        <v>4673</v>
      </c>
      <c r="P182" s="23">
        <f t="shared" si="14"/>
        <v>0.07446762737820727</v>
      </c>
      <c r="R182" s="4"/>
      <c r="S182" s="4"/>
      <c r="T182" s="4"/>
      <c r="U182" s="4"/>
    </row>
    <row r="183" spans="1:21" ht="13.5">
      <c r="A183" s="62">
        <v>11</v>
      </c>
      <c r="B183" s="19" t="s">
        <v>115</v>
      </c>
      <c r="C183" s="20">
        <v>0</v>
      </c>
      <c r="D183" s="20">
        <v>2</v>
      </c>
      <c r="E183" s="20">
        <v>0</v>
      </c>
      <c r="F183" s="21"/>
      <c r="G183" s="20">
        <v>0</v>
      </c>
      <c r="H183" s="20">
        <v>0</v>
      </c>
      <c r="I183" s="20">
        <v>0</v>
      </c>
      <c r="J183" s="20">
        <v>2</v>
      </c>
      <c r="K183" s="20">
        <v>1</v>
      </c>
      <c r="L183" s="20">
        <v>0</v>
      </c>
      <c r="M183" s="20">
        <v>0</v>
      </c>
      <c r="N183" s="20">
        <v>1</v>
      </c>
      <c r="O183" s="22">
        <f t="shared" si="12"/>
        <v>6</v>
      </c>
      <c r="P183" s="23">
        <f t="shared" si="14"/>
        <v>9.561433003835728E-05</v>
      </c>
      <c r="R183" s="4"/>
      <c r="S183" s="4"/>
      <c r="T183" s="4"/>
      <c r="U183" s="4"/>
    </row>
    <row r="184" spans="1:21" ht="13.5">
      <c r="A184" s="62">
        <v>12</v>
      </c>
      <c r="B184" s="19" t="s">
        <v>116</v>
      </c>
      <c r="C184" s="20">
        <v>76</v>
      </c>
      <c r="D184" s="20">
        <v>79</v>
      </c>
      <c r="E184" s="20">
        <v>77</v>
      </c>
      <c r="F184" s="21">
        <v>63</v>
      </c>
      <c r="G184" s="20">
        <v>23</v>
      </c>
      <c r="H184" s="20">
        <v>133</v>
      </c>
      <c r="I184" s="20">
        <v>123</v>
      </c>
      <c r="J184" s="20">
        <v>114</v>
      </c>
      <c r="K184" s="20">
        <v>132</v>
      </c>
      <c r="L184" s="20">
        <v>152</v>
      </c>
      <c r="M184" s="20">
        <v>147</v>
      </c>
      <c r="N184" s="20">
        <v>184</v>
      </c>
      <c r="O184" s="22">
        <f t="shared" si="12"/>
        <v>1303</v>
      </c>
      <c r="P184" s="23">
        <f t="shared" si="14"/>
        <v>0.02076424533999659</v>
      </c>
      <c r="R184" s="4"/>
      <c r="S184" s="4"/>
      <c r="T184" s="4"/>
      <c r="U184" s="4"/>
    </row>
    <row r="185" spans="1:21" ht="13.5">
      <c r="A185" s="62">
        <v>13</v>
      </c>
      <c r="B185" s="83" t="s">
        <v>215</v>
      </c>
      <c r="C185" s="20">
        <f>777+1</f>
        <v>778</v>
      </c>
      <c r="D185" s="20">
        <v>768</v>
      </c>
      <c r="E185" s="20">
        <f>1005+1</f>
        <v>1006</v>
      </c>
      <c r="F185" s="21">
        <v>1225</v>
      </c>
      <c r="G185" s="20">
        <f>388+4</f>
        <v>392</v>
      </c>
      <c r="H185" s="20">
        <v>1585</v>
      </c>
      <c r="I185" s="20">
        <v>1546</v>
      </c>
      <c r="J185" s="20">
        <v>1592</v>
      </c>
      <c r="K185" s="20">
        <v>1392</v>
      </c>
      <c r="L185" s="20">
        <v>1383</v>
      </c>
      <c r="M185" s="20">
        <v>1243</v>
      </c>
      <c r="N185" s="20">
        <f>1079+3</f>
        <v>1082</v>
      </c>
      <c r="O185" s="22">
        <f t="shared" si="12"/>
        <v>13992</v>
      </c>
      <c r="P185" s="23">
        <f t="shared" si="14"/>
        <v>0.22297261764944917</v>
      </c>
      <c r="Q185" s="7"/>
      <c r="R185" s="4"/>
      <c r="S185" s="3"/>
      <c r="T185" s="4"/>
      <c r="U185" s="4"/>
    </row>
    <row r="186" spans="1:21" ht="13.5">
      <c r="A186" s="62">
        <v>14</v>
      </c>
      <c r="B186" s="83" t="s">
        <v>189</v>
      </c>
      <c r="C186" s="20">
        <v>139</v>
      </c>
      <c r="D186" s="20">
        <v>127</v>
      </c>
      <c r="E186" s="20">
        <v>78</v>
      </c>
      <c r="F186" s="21">
        <v>123</v>
      </c>
      <c r="G186" s="20">
        <v>16</v>
      </c>
      <c r="H186" s="20">
        <v>239</v>
      </c>
      <c r="I186" s="20">
        <v>237</v>
      </c>
      <c r="J186" s="20">
        <v>168</v>
      </c>
      <c r="K186" s="20">
        <v>135</v>
      </c>
      <c r="L186" s="20">
        <v>121</v>
      </c>
      <c r="M186" s="20">
        <v>228</v>
      </c>
      <c r="N186" s="20">
        <v>185</v>
      </c>
      <c r="O186" s="22">
        <f t="shared" si="12"/>
        <v>1796</v>
      </c>
      <c r="P186" s="23">
        <f t="shared" si="14"/>
        <v>0.028620556124814945</v>
      </c>
      <c r="R186" s="4"/>
      <c r="S186" s="4"/>
      <c r="T186" s="4"/>
      <c r="U186" s="4"/>
    </row>
    <row r="187" spans="1:21" ht="13.5">
      <c r="A187" s="62">
        <v>15</v>
      </c>
      <c r="B187" s="83" t="s">
        <v>55</v>
      </c>
      <c r="C187" s="20">
        <v>52</v>
      </c>
      <c r="D187" s="20">
        <v>50</v>
      </c>
      <c r="E187" s="20">
        <v>54</v>
      </c>
      <c r="F187" s="21">
        <v>74</v>
      </c>
      <c r="G187" s="20">
        <v>29</v>
      </c>
      <c r="H187" s="20">
        <v>133</v>
      </c>
      <c r="I187" s="20">
        <v>125</v>
      </c>
      <c r="J187" s="20">
        <v>98</v>
      </c>
      <c r="K187" s="20">
        <v>73</v>
      </c>
      <c r="L187" s="20">
        <v>115</v>
      </c>
      <c r="M187" s="20">
        <v>97</v>
      </c>
      <c r="N187" s="20">
        <v>71</v>
      </c>
      <c r="O187" s="22">
        <f t="shared" si="12"/>
        <v>971</v>
      </c>
      <c r="P187" s="23">
        <f>O187/$O$196*100</f>
        <v>0.01547358574454082</v>
      </c>
      <c r="Q187" s="7"/>
      <c r="R187" s="4"/>
      <c r="S187" s="4"/>
      <c r="T187" s="4"/>
      <c r="U187" s="4"/>
    </row>
    <row r="188" spans="1:21" ht="13.5">
      <c r="A188" s="62">
        <v>16</v>
      </c>
      <c r="B188" s="83" t="s">
        <v>195</v>
      </c>
      <c r="C188" s="20">
        <v>35</v>
      </c>
      <c r="D188" s="20">
        <v>27</v>
      </c>
      <c r="E188" s="20">
        <v>51</v>
      </c>
      <c r="F188" s="21">
        <v>48</v>
      </c>
      <c r="G188" s="20">
        <v>10</v>
      </c>
      <c r="H188" s="20">
        <v>191</v>
      </c>
      <c r="I188" s="20">
        <v>243</v>
      </c>
      <c r="J188" s="20">
        <v>258</v>
      </c>
      <c r="K188" s="20">
        <v>52</v>
      </c>
      <c r="L188" s="20">
        <v>21</v>
      </c>
      <c r="M188" s="20">
        <v>36</v>
      </c>
      <c r="N188" s="20">
        <v>99</v>
      </c>
      <c r="O188" s="22">
        <f t="shared" si="12"/>
        <v>1071</v>
      </c>
      <c r="P188" s="23">
        <f t="shared" si="14"/>
        <v>0.017067157911846775</v>
      </c>
      <c r="R188" s="4"/>
      <c r="S188" s="4"/>
      <c r="T188" s="4"/>
      <c r="U188" s="4"/>
    </row>
    <row r="189" spans="1:21" s="15" customFormat="1" ht="13.5">
      <c r="A189" s="62">
        <v>17</v>
      </c>
      <c r="B189" s="83" t="s">
        <v>117</v>
      </c>
      <c r="C189" s="20">
        <v>57</v>
      </c>
      <c r="D189" s="20">
        <v>51</v>
      </c>
      <c r="E189" s="20">
        <v>65</v>
      </c>
      <c r="F189" s="21">
        <v>89</v>
      </c>
      <c r="G189" s="20">
        <v>65</v>
      </c>
      <c r="H189" s="20">
        <v>121</v>
      </c>
      <c r="I189" s="20">
        <v>120</v>
      </c>
      <c r="J189" s="20">
        <v>140</v>
      </c>
      <c r="K189" s="20">
        <v>92</v>
      </c>
      <c r="L189" s="20">
        <v>78</v>
      </c>
      <c r="M189" s="20">
        <v>80</v>
      </c>
      <c r="N189" s="20">
        <v>100</v>
      </c>
      <c r="O189" s="22">
        <f t="shared" si="12"/>
        <v>1058</v>
      </c>
      <c r="P189" s="23">
        <f t="shared" si="14"/>
        <v>0.016859993530097</v>
      </c>
      <c r="R189" s="16"/>
      <c r="S189" s="16"/>
      <c r="T189" s="16"/>
      <c r="U189" s="16"/>
    </row>
    <row r="190" spans="1:21" ht="13.5">
      <c r="A190" s="62">
        <v>18</v>
      </c>
      <c r="B190" s="19" t="s">
        <v>68</v>
      </c>
      <c r="C190" s="20">
        <v>119</v>
      </c>
      <c r="D190" s="20">
        <v>63</v>
      </c>
      <c r="E190" s="20">
        <v>65</v>
      </c>
      <c r="F190" s="21">
        <v>80</v>
      </c>
      <c r="G190" s="20">
        <v>8</v>
      </c>
      <c r="H190" s="20">
        <v>99</v>
      </c>
      <c r="I190" s="20">
        <v>78</v>
      </c>
      <c r="J190" s="20">
        <v>124</v>
      </c>
      <c r="K190" s="20">
        <v>76</v>
      </c>
      <c r="L190" s="20">
        <v>51</v>
      </c>
      <c r="M190" s="20">
        <v>96</v>
      </c>
      <c r="N190" s="20">
        <v>145</v>
      </c>
      <c r="O190" s="22">
        <f t="shared" si="12"/>
        <v>1004</v>
      </c>
      <c r="P190" s="23">
        <f t="shared" si="14"/>
        <v>0.015999464559751785</v>
      </c>
      <c r="R190" s="4"/>
      <c r="S190" s="4"/>
      <c r="T190" s="4"/>
      <c r="U190" s="4"/>
    </row>
    <row r="191" spans="1:21" ht="13.5">
      <c r="A191" s="62">
        <v>19</v>
      </c>
      <c r="B191" s="69" t="s">
        <v>118</v>
      </c>
      <c r="C191" s="70">
        <f>679+4+2+2+1</f>
        <v>688</v>
      </c>
      <c r="D191" s="70">
        <v>529</v>
      </c>
      <c r="E191" s="20">
        <f>623+2+4</f>
        <v>629</v>
      </c>
      <c r="F191" s="21">
        <v>800</v>
      </c>
      <c r="G191" s="20">
        <v>638</v>
      </c>
      <c r="H191" s="20">
        <v>1299</v>
      </c>
      <c r="I191" s="20">
        <v>1069</v>
      </c>
      <c r="J191" s="20">
        <v>1016</v>
      </c>
      <c r="K191" s="20">
        <v>933</v>
      </c>
      <c r="L191" s="20">
        <v>1380</v>
      </c>
      <c r="M191" s="20">
        <v>1617</v>
      </c>
      <c r="N191" s="20">
        <f>1266+2</f>
        <v>1268</v>
      </c>
      <c r="O191" s="22">
        <f t="shared" si="12"/>
        <v>11866</v>
      </c>
      <c r="P191" s="23">
        <f t="shared" si="14"/>
        <v>0.18909327337252457</v>
      </c>
      <c r="R191" s="4"/>
      <c r="S191" s="4"/>
      <c r="T191" s="4"/>
      <c r="U191" s="4"/>
    </row>
    <row r="192" spans="1:21" ht="13.5">
      <c r="A192" s="62">
        <v>20</v>
      </c>
      <c r="B192" s="19" t="s">
        <v>119</v>
      </c>
      <c r="C192" s="20">
        <v>181</v>
      </c>
      <c r="D192" s="20">
        <v>141</v>
      </c>
      <c r="E192" s="20">
        <v>229</v>
      </c>
      <c r="F192" s="21">
        <v>239</v>
      </c>
      <c r="G192" s="20">
        <v>65</v>
      </c>
      <c r="H192" s="20">
        <v>438</v>
      </c>
      <c r="I192" s="20">
        <v>322</v>
      </c>
      <c r="J192" s="20">
        <v>433</v>
      </c>
      <c r="K192" s="20">
        <v>203</v>
      </c>
      <c r="L192" s="20">
        <v>147</v>
      </c>
      <c r="M192" s="20">
        <v>340</v>
      </c>
      <c r="N192" s="20">
        <v>297</v>
      </c>
      <c r="O192" s="22">
        <f t="shared" si="12"/>
        <v>3035</v>
      </c>
      <c r="P192" s="23">
        <f t="shared" si="14"/>
        <v>0.048364915277735725</v>
      </c>
      <c r="R192" s="4"/>
      <c r="S192" s="3"/>
      <c r="T192" s="4"/>
      <c r="U192" s="4"/>
    </row>
    <row r="193" spans="1:21" ht="13.5">
      <c r="A193" s="62">
        <v>21</v>
      </c>
      <c r="B193" s="120" t="s">
        <v>120</v>
      </c>
      <c r="C193" s="84">
        <v>77</v>
      </c>
      <c r="D193" s="84">
        <v>75</v>
      </c>
      <c r="E193" s="84">
        <v>81</v>
      </c>
      <c r="F193" s="85">
        <v>58</v>
      </c>
      <c r="G193" s="84">
        <v>18</v>
      </c>
      <c r="H193" s="84">
        <v>93</v>
      </c>
      <c r="I193" s="84">
        <v>76</v>
      </c>
      <c r="J193" s="84">
        <v>95</v>
      </c>
      <c r="K193" s="84">
        <v>79</v>
      </c>
      <c r="L193" s="84">
        <v>68</v>
      </c>
      <c r="M193" s="84">
        <v>82</v>
      </c>
      <c r="N193" s="84">
        <v>94</v>
      </c>
      <c r="O193" s="22">
        <f t="shared" si="12"/>
        <v>896</v>
      </c>
      <c r="P193" s="86">
        <f t="shared" si="14"/>
        <v>0.014278406619061353</v>
      </c>
      <c r="Q193" s="13"/>
      <c r="R193" s="4"/>
      <c r="S193" s="4"/>
      <c r="T193" s="4"/>
      <c r="U193" s="4"/>
    </row>
    <row r="194" spans="1:21" ht="14.25" thickBot="1">
      <c r="A194" s="62">
        <v>22</v>
      </c>
      <c r="B194" s="63" t="s">
        <v>121</v>
      </c>
      <c r="C194" s="50">
        <v>238</v>
      </c>
      <c r="D194" s="50">
        <v>155</v>
      </c>
      <c r="E194" s="50">
        <v>254</v>
      </c>
      <c r="F194" s="51">
        <v>290</v>
      </c>
      <c r="G194" s="50">
        <v>97</v>
      </c>
      <c r="H194" s="50">
        <v>452</v>
      </c>
      <c r="I194" s="50">
        <v>484</v>
      </c>
      <c r="J194" s="50">
        <v>564</v>
      </c>
      <c r="K194" s="50">
        <v>312</v>
      </c>
      <c r="L194" s="50">
        <v>248</v>
      </c>
      <c r="M194" s="50">
        <v>322</v>
      </c>
      <c r="N194" s="50">
        <v>333</v>
      </c>
      <c r="O194" s="41">
        <f t="shared" si="12"/>
        <v>3749</v>
      </c>
      <c r="P194" s="53">
        <f t="shared" si="14"/>
        <v>0.05974302055230024</v>
      </c>
      <c r="Q194" s="13"/>
      <c r="R194" s="4"/>
      <c r="S194" s="4"/>
      <c r="T194" s="4"/>
      <c r="U194" s="4"/>
    </row>
    <row r="195" spans="1:21" ht="20.25" customHeight="1" thickBot="1" thickTop="1">
      <c r="A195" s="87" t="s">
        <v>45</v>
      </c>
      <c r="B195" s="88" t="s">
        <v>46</v>
      </c>
      <c r="C195" s="89">
        <f>456218-453291</f>
        <v>2927</v>
      </c>
      <c r="D195" s="89">
        <v>196</v>
      </c>
      <c r="E195" s="89">
        <f>1+1+4+6+1+3+1+5+9+2+14+1+2+1+3+1+1+3+1+3+9+9+1+1288</f>
        <v>1370</v>
      </c>
      <c r="F195" s="90">
        <f>1+2+5+18+2+1+3+6+7+4+4+2+2+2+1+1+1+6+16+5+1+4+2121</f>
        <v>2215</v>
      </c>
      <c r="G195" s="89">
        <f>1+1+2+1+5+32+3+5+1+1+7+9+2+3+1+1+5+3+2+1+2+6+2+21+12+2+7+1</f>
        <v>139</v>
      </c>
      <c r="H195" s="89">
        <f>5+5+15+2+1+3+3+7+1+7+1+5+1+1+5+4+2+1+5+3+1+1+4+15+3+20+14+3+5+1+1+51+3131+33+1+288</f>
        <v>3649</v>
      </c>
      <c r="I195" s="89">
        <v>2230</v>
      </c>
      <c r="J195" s="89">
        <f>1203+2+1+12+2+1+1+4+5+5+21+11+5+7+1+5+6+2+1+1+15+33+1+9+17+3+3+10+1261</f>
        <v>2648</v>
      </c>
      <c r="K195" s="89">
        <f>3+1+20+4+1+7+1+5+2+10+3+1+3+1+2+2+2+5+20+16+11+4+6+2+7130</f>
        <v>7262</v>
      </c>
      <c r="L195" s="89">
        <f>1+9+8+1+7+1+3+3+8+3+1+2+12+12+2+9+6+1+1+7+1+6+7398</f>
        <v>7502</v>
      </c>
      <c r="M195" s="89">
        <f>5160-163</f>
        <v>4997</v>
      </c>
      <c r="N195" s="89">
        <f>552403-549284</f>
        <v>3119</v>
      </c>
      <c r="O195" s="41">
        <f>SUM(C195:N195)+160</f>
        <v>38414</v>
      </c>
      <c r="P195" s="91">
        <f>O195/$O$196*100</f>
        <v>0.6121548123489094</v>
      </c>
      <c r="R195" s="4"/>
      <c r="S195" s="4"/>
      <c r="T195" s="4"/>
      <c r="U195" s="4"/>
    </row>
    <row r="196" spans="1:26" ht="18" customHeight="1" thickBot="1" thickTop="1">
      <c r="A196" s="92"/>
      <c r="B196" s="121" t="s">
        <v>12</v>
      </c>
      <c r="C196" s="79">
        <f>C5+C34+C44+C83+C118+C172+C195</f>
        <v>456218</v>
      </c>
      <c r="D196" s="79">
        <f>D5+D34+D44+D83+D118+D172+D195</f>
        <v>437537</v>
      </c>
      <c r="E196" s="79">
        <f>E5+E34+E44+E83+E118+E172+E195</f>
        <v>449637</v>
      </c>
      <c r="F196" s="79">
        <f>F5+F34+F44+F83+F118+F172+F195</f>
        <v>476327</v>
      </c>
      <c r="G196" s="79">
        <v>485795</v>
      </c>
      <c r="H196" s="79">
        <f aca="true" t="shared" si="16" ref="H196:O196">H5+H34+H44+H83+H118+H172+H195</f>
        <v>549751</v>
      </c>
      <c r="I196" s="79">
        <f t="shared" si="16"/>
        <v>594279</v>
      </c>
      <c r="J196" s="79">
        <f t="shared" si="16"/>
        <v>616706</v>
      </c>
      <c r="K196" s="79">
        <f t="shared" si="16"/>
        <v>590565</v>
      </c>
      <c r="L196" s="79">
        <f t="shared" si="16"/>
        <v>568067</v>
      </c>
      <c r="M196" s="79">
        <f t="shared" si="16"/>
        <v>497925</v>
      </c>
      <c r="N196" s="79">
        <f t="shared" si="16"/>
        <v>552403</v>
      </c>
      <c r="O196" s="79">
        <f>O5+O34+O44+O83+O118+O172+O195</f>
        <v>6275210</v>
      </c>
      <c r="P196" s="122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5.75" thickTop="1">
      <c r="A197" s="145" t="s">
        <v>219</v>
      </c>
      <c r="B197" s="126"/>
      <c r="C197" s="94"/>
      <c r="D197" s="94" t="s">
        <v>41</v>
      </c>
      <c r="E197" s="94"/>
      <c r="F197" s="94"/>
      <c r="G197" s="94"/>
      <c r="H197" s="26"/>
      <c r="I197" s="94"/>
      <c r="J197" s="9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3.5">
      <c r="A198" s="94" t="s">
        <v>223</v>
      </c>
      <c r="B198" s="93"/>
      <c r="C198" s="94"/>
      <c r="D198" s="94"/>
      <c r="E198" s="94"/>
      <c r="F198" s="94"/>
      <c r="G198" s="93"/>
      <c r="H198" s="26"/>
      <c r="I198" s="94"/>
      <c r="J198" s="95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3.5">
      <c r="A199" s="94" t="s">
        <v>221</v>
      </c>
      <c r="B199" s="93"/>
      <c r="C199" s="94"/>
      <c r="D199" s="94"/>
      <c r="E199" s="95"/>
      <c r="F199" s="95"/>
      <c r="G199" s="93"/>
      <c r="H199" s="26"/>
      <c r="I199" s="95"/>
      <c r="J199" s="9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3.5">
      <c r="A200" s="94" t="s">
        <v>224</v>
      </c>
      <c r="B200" s="93"/>
      <c r="C200" s="94"/>
      <c r="D200" s="94"/>
      <c r="E200" s="94"/>
      <c r="F200" s="94"/>
      <c r="G200" s="130"/>
      <c r="H200" s="26"/>
      <c r="I200" s="95"/>
      <c r="J200" s="9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3.5">
      <c r="A201" s="96"/>
      <c r="B201" s="24"/>
      <c r="C201" s="24"/>
      <c r="D201" s="24"/>
      <c r="E201" s="24"/>
      <c r="F201" s="24"/>
      <c r="G201" s="123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3.5">
      <c r="A202" s="96"/>
      <c r="B202" s="25"/>
      <c r="C202" s="25"/>
      <c r="D202" s="97"/>
      <c r="E202" s="97"/>
      <c r="F202" s="98"/>
      <c r="G202" s="98"/>
      <c r="H202" s="25"/>
      <c r="I202" s="25"/>
      <c r="J202" s="97"/>
      <c r="K202" s="25"/>
      <c r="L202" s="98"/>
      <c r="M202" s="25"/>
      <c r="N202" s="98"/>
      <c r="O202" s="97"/>
      <c r="P202" s="98"/>
      <c r="R202" s="11"/>
      <c r="S202" s="11"/>
      <c r="T202" s="11"/>
      <c r="U202" s="11"/>
    </row>
    <row r="203" spans="1:21" ht="12.75">
      <c r="A203" s="98"/>
      <c r="B203" s="25"/>
      <c r="C203" s="25"/>
      <c r="D203" s="98"/>
      <c r="E203" s="98"/>
      <c r="F203" s="98"/>
      <c r="G203" s="144"/>
      <c r="H203" s="25"/>
      <c r="I203" s="25"/>
      <c r="J203" s="98"/>
      <c r="K203" s="25"/>
      <c r="L203" s="98"/>
      <c r="M203" s="98"/>
      <c r="N203" s="98"/>
      <c r="O203" s="98"/>
      <c r="P203" s="98"/>
      <c r="R203" s="11"/>
      <c r="S203" s="11"/>
      <c r="T203" s="11"/>
      <c r="U203" s="11"/>
    </row>
    <row r="204" spans="1:16" ht="12.75">
      <c r="A204" s="99">
        <v>2018</v>
      </c>
      <c r="B204" s="100" t="s">
        <v>56</v>
      </c>
      <c r="C204" s="128">
        <v>358065</v>
      </c>
      <c r="D204" s="128">
        <v>452423</v>
      </c>
      <c r="E204" s="128">
        <v>492678</v>
      </c>
      <c r="F204" s="128">
        <v>516777</v>
      </c>
      <c r="G204" s="128">
        <v>528512</v>
      </c>
      <c r="H204" s="128">
        <v>544550</v>
      </c>
      <c r="I204" s="128">
        <v>624366</v>
      </c>
      <c r="J204" s="128">
        <v>573766</v>
      </c>
      <c r="K204" s="128">
        <v>555903</v>
      </c>
      <c r="L204" s="128">
        <v>517889</v>
      </c>
      <c r="M204" s="128">
        <v>406725</v>
      </c>
      <c r="N204" s="128">
        <v>498819</v>
      </c>
      <c r="O204" s="129">
        <f>SUM(C204:N204)</f>
        <v>6070473</v>
      </c>
      <c r="P204" s="98"/>
    </row>
    <row r="205" spans="1:16" ht="12.75">
      <c r="A205" s="103"/>
      <c r="B205" s="104" t="s">
        <v>57</v>
      </c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6"/>
      <c r="P205" s="98"/>
    </row>
    <row r="206" spans="1:19" ht="12.75">
      <c r="A206" s="99">
        <v>2019</v>
      </c>
      <c r="B206" s="100" t="s">
        <v>56</v>
      </c>
      <c r="C206" s="101">
        <f aca="true" t="shared" si="17" ref="C206:N206">C196</f>
        <v>456218</v>
      </c>
      <c r="D206" s="101">
        <f t="shared" si="17"/>
        <v>437537</v>
      </c>
      <c r="E206" s="101">
        <f t="shared" si="17"/>
        <v>449637</v>
      </c>
      <c r="F206" s="101">
        <f t="shared" si="17"/>
        <v>476327</v>
      </c>
      <c r="G206" s="101">
        <f t="shared" si="17"/>
        <v>485795</v>
      </c>
      <c r="H206" s="101">
        <f>H196</f>
        <v>549751</v>
      </c>
      <c r="I206" s="101">
        <f t="shared" si="17"/>
        <v>594279</v>
      </c>
      <c r="J206" s="101">
        <f t="shared" si="17"/>
        <v>616706</v>
      </c>
      <c r="K206" s="101">
        <f t="shared" si="17"/>
        <v>590565</v>
      </c>
      <c r="L206" s="101">
        <f t="shared" si="17"/>
        <v>568067</v>
      </c>
      <c r="M206" s="101">
        <f t="shared" si="17"/>
        <v>497925</v>
      </c>
      <c r="N206" s="101">
        <f t="shared" si="17"/>
        <v>552403</v>
      </c>
      <c r="O206" s="102">
        <f>SUM(C206:N206)</f>
        <v>6275210</v>
      </c>
      <c r="P206" s="98"/>
      <c r="Q206" s="8"/>
      <c r="R206" s="14"/>
      <c r="S206" s="7"/>
    </row>
    <row r="207" spans="1:16" ht="12.75">
      <c r="A207" s="103"/>
      <c r="B207" s="104" t="s">
        <v>57</v>
      </c>
      <c r="C207" s="105">
        <f aca="true" t="shared" si="18" ref="C207:I207">(C206-C204)/C204*100</f>
        <v>27.412062055771997</v>
      </c>
      <c r="D207" s="105">
        <f t="shared" si="18"/>
        <v>-3.29028365047754</v>
      </c>
      <c r="E207" s="105">
        <f t="shared" si="18"/>
        <v>-8.736131915774603</v>
      </c>
      <c r="F207" s="105">
        <f t="shared" si="18"/>
        <v>-7.827360737803733</v>
      </c>
      <c r="G207" s="105">
        <f t="shared" si="18"/>
        <v>-8.082503330104142</v>
      </c>
      <c r="H207" s="105">
        <f t="shared" si="18"/>
        <v>0.955100541731705</v>
      </c>
      <c r="I207" s="105">
        <f t="shared" si="18"/>
        <v>-4.818808199037103</v>
      </c>
      <c r="J207" s="105">
        <f aca="true" t="shared" si="19" ref="J207:O207">(J206-J204)/J204*100</f>
        <v>7.483887159573764</v>
      </c>
      <c r="K207" s="105">
        <f t="shared" si="19"/>
        <v>6.235260468103248</v>
      </c>
      <c r="L207" s="105">
        <f t="shared" si="19"/>
        <v>9.688948790184769</v>
      </c>
      <c r="M207" s="105">
        <f t="shared" si="19"/>
        <v>22.423013092384288</v>
      </c>
      <c r="N207" s="105">
        <f t="shared" si="19"/>
        <v>10.742173012655893</v>
      </c>
      <c r="O207" s="105">
        <f t="shared" si="19"/>
        <v>3.3726696420526046</v>
      </c>
      <c r="P207" s="98"/>
    </row>
    <row r="208" spans="1:16" ht="12.75">
      <c r="A208" s="131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1:16" ht="12.75">
      <c r="A209" s="107"/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10"/>
    </row>
    <row r="210" spans="1:16" ht="12.75">
      <c r="A210" s="107"/>
      <c r="B210" s="108" t="s">
        <v>222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0"/>
    </row>
    <row r="211" spans="1:16" ht="12.75">
      <c r="A211" s="98"/>
      <c r="B211" s="112" t="s">
        <v>203</v>
      </c>
      <c r="C211" s="127">
        <f>C204+D204+E204+F204+G204+H204+I204+J204+K204+L204+M204+N204</f>
        <v>6070473</v>
      </c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</row>
    <row r="212" spans="1:16" ht="13.5">
      <c r="A212" s="98"/>
      <c r="B212" s="113">
        <v>2019</v>
      </c>
      <c r="C212" s="127">
        <f>SUM(C206+D206+E206+F206+G206+H196+I206+J206+K206+L206+M206+N206)</f>
        <v>6275210</v>
      </c>
      <c r="D212" s="124"/>
      <c r="E212" s="124"/>
      <c r="F212" s="124"/>
      <c r="G212" s="124"/>
      <c r="H212" s="124"/>
      <c r="I212" s="124"/>
      <c r="J212" s="124"/>
      <c r="K212" s="124"/>
      <c r="L212" s="98"/>
      <c r="M212" s="98"/>
      <c r="N212" s="98"/>
      <c r="O212" s="25"/>
      <c r="P212" s="98"/>
    </row>
    <row r="213" spans="1:16" ht="12.75">
      <c r="A213" s="98"/>
      <c r="B213" s="98"/>
      <c r="C213" s="98"/>
      <c r="D213" s="98"/>
      <c r="E213" s="98"/>
      <c r="F213" s="98"/>
      <c r="G213" s="98"/>
      <c r="H213" s="98"/>
      <c r="I213" s="98"/>
      <c r="J213" s="25"/>
      <c r="K213" s="98"/>
      <c r="L213" s="98"/>
      <c r="M213" s="98"/>
      <c r="N213" s="98"/>
      <c r="O213" s="98"/>
      <c r="P213" s="98"/>
    </row>
    <row r="214" spans="1:16" ht="12.75">
      <c r="A214" s="98"/>
      <c r="B214" s="98"/>
      <c r="C214" s="143">
        <f>SUM(C212-C211)/C211</f>
        <v>0.033726696420526045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98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user</cp:lastModifiedBy>
  <cp:lastPrinted>2020-02-04T02:08:17Z</cp:lastPrinted>
  <dcterms:created xsi:type="dcterms:W3CDTF">2007-02-13T23:51:58Z</dcterms:created>
  <dcterms:modified xsi:type="dcterms:W3CDTF">2020-02-04T07:31:52Z</dcterms:modified>
  <cp:category/>
  <cp:version/>
  <cp:contentType/>
  <cp:contentStatus/>
</cp:coreProperties>
</file>