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0\BUKU STATISTIK 2019\Buku Statistik 2019\"/>
    </mc:Choice>
  </mc:AlternateContent>
  <bookViews>
    <workbookView xWindow="0" yWindow="0" windowWidth="16164" windowHeight="5604"/>
  </bookViews>
  <sheets>
    <sheet name="Table 17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4" i="1" l="1"/>
  <c r="L193" i="1"/>
  <c r="K193" i="1"/>
  <c r="L192" i="1"/>
  <c r="K192" i="1"/>
  <c r="L188" i="1"/>
  <c r="K188" i="1"/>
  <c r="L191" i="1"/>
  <c r="K191" i="1"/>
  <c r="L182" i="1"/>
  <c r="K182" i="1"/>
  <c r="L187" i="1"/>
  <c r="K187" i="1"/>
  <c r="L186" i="1"/>
  <c r="K186" i="1"/>
  <c r="L185" i="1"/>
  <c r="K185" i="1"/>
  <c r="L183" i="1"/>
  <c r="K183" i="1"/>
  <c r="K99" i="1"/>
  <c r="L99" i="1"/>
  <c r="L60" i="1"/>
  <c r="L71" i="1"/>
  <c r="L75" i="1"/>
  <c r="L73" i="1"/>
  <c r="K71" i="1"/>
  <c r="L70" i="1"/>
  <c r="K70" i="1"/>
  <c r="K144" i="1"/>
  <c r="L144" i="1"/>
  <c r="L195" i="1"/>
  <c r="K195" i="1"/>
  <c r="L180" i="1"/>
  <c r="K180" i="1"/>
  <c r="L77" i="1"/>
  <c r="K77" i="1"/>
  <c r="L68" i="1"/>
  <c r="K68" i="1"/>
  <c r="K60" i="1"/>
  <c r="L35" i="1"/>
  <c r="K35" i="1"/>
  <c r="L27" i="1"/>
  <c r="H180" i="1"/>
  <c r="G180" i="1"/>
  <c r="F180" i="1"/>
  <c r="E180" i="1"/>
  <c r="H144" i="1"/>
  <c r="G144" i="1"/>
  <c r="F144" i="1"/>
  <c r="E144" i="1"/>
  <c r="H99" i="1"/>
  <c r="G99" i="1"/>
  <c r="F99" i="1"/>
  <c r="E99" i="1"/>
  <c r="H77" i="1"/>
  <c r="G77" i="1"/>
  <c r="F77" i="1"/>
  <c r="E77" i="1"/>
  <c r="H68" i="1"/>
  <c r="G68" i="1"/>
  <c r="F68" i="1"/>
  <c r="E68" i="1"/>
  <c r="H60" i="1"/>
  <c r="G60" i="1"/>
  <c r="F60" i="1"/>
  <c r="E60" i="1"/>
  <c r="H35" i="1"/>
  <c r="G35" i="1"/>
  <c r="F35" i="1"/>
  <c r="E35" i="1"/>
  <c r="H27" i="1"/>
  <c r="G27" i="1"/>
  <c r="F27" i="1"/>
  <c r="E27" i="1"/>
  <c r="L196" i="1"/>
  <c r="H195" i="1"/>
  <c r="H196" i="1"/>
  <c r="G195" i="1"/>
  <c r="G196" i="1"/>
  <c r="F195" i="1"/>
  <c r="F196" i="1"/>
  <c r="E195" i="1"/>
  <c r="J194" i="1"/>
  <c r="J193" i="1"/>
  <c r="I193" i="1"/>
  <c r="J192" i="1"/>
  <c r="I192" i="1"/>
  <c r="J191" i="1"/>
  <c r="I191" i="1"/>
  <c r="J188" i="1"/>
  <c r="I188" i="1"/>
  <c r="J187" i="1"/>
  <c r="I187" i="1"/>
  <c r="J186" i="1"/>
  <c r="I186" i="1"/>
  <c r="J185" i="1"/>
  <c r="I185" i="1"/>
  <c r="J183" i="1"/>
  <c r="I183" i="1"/>
  <c r="J182" i="1"/>
  <c r="J195" i="1"/>
  <c r="I182" i="1"/>
  <c r="I195" i="1"/>
  <c r="J180" i="1"/>
  <c r="I180" i="1"/>
  <c r="J143" i="1"/>
  <c r="I143" i="1"/>
  <c r="J142" i="1"/>
  <c r="I142" i="1"/>
  <c r="J141" i="1"/>
  <c r="I141" i="1"/>
  <c r="J140" i="1"/>
  <c r="J139" i="1"/>
  <c r="J138" i="1"/>
  <c r="J137" i="1"/>
  <c r="I137" i="1"/>
  <c r="J136" i="1"/>
  <c r="I136" i="1"/>
  <c r="J135" i="1"/>
  <c r="I135" i="1"/>
  <c r="I134" i="1"/>
  <c r="J131" i="1"/>
  <c r="I131" i="1"/>
  <c r="J129" i="1"/>
  <c r="I129" i="1"/>
  <c r="I127" i="1"/>
  <c r="J125" i="1"/>
  <c r="J122" i="1"/>
  <c r="I122" i="1"/>
  <c r="J120" i="1"/>
  <c r="I120" i="1"/>
  <c r="J119" i="1"/>
  <c r="I119" i="1"/>
  <c r="J118" i="1"/>
  <c r="I118" i="1"/>
  <c r="J116" i="1"/>
  <c r="I116" i="1"/>
  <c r="J115" i="1"/>
  <c r="I115" i="1"/>
  <c r="J114" i="1"/>
  <c r="I114" i="1"/>
  <c r="J113" i="1"/>
  <c r="I113" i="1"/>
  <c r="J110" i="1"/>
  <c r="I110" i="1"/>
  <c r="J109" i="1"/>
  <c r="I109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I98" i="1"/>
  <c r="J97" i="1"/>
  <c r="I97" i="1"/>
  <c r="J96" i="1"/>
  <c r="I96" i="1"/>
  <c r="J94" i="1"/>
  <c r="I94" i="1"/>
  <c r="J90" i="1"/>
  <c r="I90" i="1"/>
  <c r="J88" i="1"/>
  <c r="I88" i="1"/>
  <c r="J87" i="1"/>
  <c r="I87" i="1"/>
  <c r="J86" i="1"/>
  <c r="J85" i="1"/>
  <c r="I85" i="1"/>
  <c r="J84" i="1"/>
  <c r="J83" i="1"/>
  <c r="I83" i="1"/>
  <c r="J82" i="1"/>
  <c r="I82" i="1"/>
  <c r="J81" i="1"/>
  <c r="I81" i="1"/>
  <c r="J80" i="1"/>
  <c r="I80" i="1"/>
  <c r="J79" i="1"/>
  <c r="I79" i="1"/>
  <c r="J75" i="1"/>
  <c r="I75" i="1"/>
  <c r="J73" i="1"/>
  <c r="J71" i="1"/>
  <c r="I71" i="1"/>
  <c r="J70" i="1"/>
  <c r="I70" i="1"/>
  <c r="J68" i="1"/>
  <c r="I68" i="1"/>
  <c r="J60" i="1"/>
  <c r="I60" i="1"/>
  <c r="J35" i="1"/>
  <c r="I35" i="1"/>
  <c r="J27" i="1"/>
  <c r="I27" i="1"/>
  <c r="I77" i="1"/>
  <c r="J99" i="1"/>
  <c r="J77" i="1"/>
  <c r="I99" i="1"/>
  <c r="J144" i="1"/>
  <c r="I144" i="1"/>
  <c r="I196" i="1"/>
  <c r="E196" i="1"/>
  <c r="K27" i="1"/>
  <c r="K196" i="1"/>
  <c r="J196" i="1"/>
</calcChain>
</file>

<file path=xl/sharedStrings.xml><?xml version="1.0" encoding="utf-8"?>
<sst xmlns="http://schemas.openxmlformats.org/spreadsheetml/2006/main" count="577" uniqueCount="203">
  <si>
    <t>THE GROWTH OF FOREIGN TOURIST VISIT TO PLACE OF</t>
  </si>
  <si>
    <t>TABLE 17.</t>
  </si>
  <si>
    <t>TABEL 17.</t>
  </si>
  <si>
    <t>PERKEMBANGAN KUNJUNGAN WISATAWAN PADA KAWASAN</t>
  </si>
  <si>
    <t>NO</t>
  </si>
  <si>
    <t>THE VISITED PLACES of INTEREST</t>
  </si>
  <si>
    <t>wisnus</t>
  </si>
  <si>
    <t>wisman</t>
  </si>
  <si>
    <t>I</t>
  </si>
  <si>
    <t>DENPASAR CITY</t>
  </si>
  <si>
    <t>Museum Bali</t>
  </si>
  <si>
    <t>Museum Le Mayuer</t>
  </si>
  <si>
    <t>Taman Budaya</t>
  </si>
  <si>
    <t>Pulau Serangan</t>
  </si>
  <si>
    <t>Prasasti Blanjong</t>
  </si>
  <si>
    <t>Ps. Kumbasari</t>
  </si>
  <si>
    <t>Pasar Badung</t>
  </si>
  <si>
    <t>-</t>
  </si>
  <si>
    <t>Museum Lukisan Sidik Jari</t>
  </si>
  <si>
    <t>Monumen Perjuangan Rakyat Bali</t>
  </si>
  <si>
    <t>Hutan Bakau/Mangrove</t>
  </si>
  <si>
    <t>Desa Budaya Kertalangu</t>
  </si>
  <si>
    <t>Pura Dalem Sakenan</t>
  </si>
  <si>
    <t>Pura Maspahit Grenceng</t>
  </si>
  <si>
    <t>Dewata Oleh-Oleh Bali</t>
  </si>
  <si>
    <t>Syahbandar Serangan</t>
  </si>
  <si>
    <t>Keris Dance</t>
  </si>
  <si>
    <t>JUMLAH</t>
  </si>
  <si>
    <t>II</t>
  </si>
  <si>
    <t>BADUNG REGENCY</t>
  </si>
  <si>
    <t>Sangeh</t>
  </si>
  <si>
    <t>Taman Ayun</t>
  </si>
  <si>
    <t>Uluwatu</t>
  </si>
  <si>
    <t>Air Terjun Nungnung</t>
  </si>
  <si>
    <t>Pantai Pandawa</t>
  </si>
  <si>
    <t>Pantai Labuan Sait</t>
  </si>
  <si>
    <t>III</t>
  </si>
  <si>
    <t>GIANYAR REGENCY</t>
  </si>
  <si>
    <t>Goa Gajah</t>
  </si>
  <si>
    <t>Gn. Kawi Tampak Siring</t>
  </si>
  <si>
    <t>Gn. Kawi Sebatu</t>
  </si>
  <si>
    <t>Tirta Empul</t>
  </si>
  <si>
    <t xml:space="preserve">Mandala Suci Wanara Wana </t>
  </si>
  <si>
    <t>Yeh Pulu</t>
  </si>
  <si>
    <t>Taman Burung dan Rimba Reptil</t>
  </si>
  <si>
    <t>Alam Sidan</t>
  </si>
  <si>
    <t>Wisata Gajah Taro</t>
  </si>
  <si>
    <t>Museum Arkeologi Garca</t>
  </si>
  <si>
    <t>Museum Neka</t>
  </si>
  <si>
    <t>Museum Rudana</t>
  </si>
  <si>
    <t>Museum Arma</t>
  </si>
  <si>
    <t>Bali Zoo Park</t>
  </si>
  <si>
    <t>Rafting (Sobek)</t>
  </si>
  <si>
    <t>Bali Safari &amp; Marine Park</t>
  </si>
  <si>
    <t>Museum Puri Lukisan</t>
  </si>
  <si>
    <t>Museum Antonio Blanco</t>
  </si>
  <si>
    <t>Rafting Adventure</t>
  </si>
  <si>
    <t>Museum Ratna Warta</t>
  </si>
  <si>
    <t>Taman Nusa</t>
  </si>
  <si>
    <t>Air Terjun Tegenungan</t>
  </si>
  <si>
    <t>Monkey river  dan Air Terjun Blangsinga</t>
  </si>
  <si>
    <t>IV</t>
  </si>
  <si>
    <t>BANGLI REGENCY</t>
  </si>
  <si>
    <t>Penulisan</t>
  </si>
  <si>
    <t>Pura Kehen</t>
  </si>
  <si>
    <t>Penelokan Batur</t>
  </si>
  <si>
    <t>Desa Truyan</t>
  </si>
  <si>
    <t>Desa Penglipuran</t>
  </si>
  <si>
    <t>P3GB</t>
  </si>
  <si>
    <t>V</t>
  </si>
  <si>
    <t>KLUNGKUNG REGENCY</t>
  </si>
  <si>
    <t>Kerta Gosa/Museum Semarajaya</t>
  </si>
  <si>
    <t>Goa Lawah</t>
  </si>
  <si>
    <t>Jungut Batu/Nusa Penida (Festival )</t>
  </si>
  <si>
    <t>Kawasan Nusa Penida</t>
  </si>
  <si>
    <t>Rafting Unda</t>
  </si>
  <si>
    <t>Levi Rafting</t>
  </si>
  <si>
    <t>Festival Semarapura</t>
  </si>
  <si>
    <t>VI</t>
  </si>
  <si>
    <t>KARANGASEM REGENCY</t>
  </si>
  <si>
    <t>Puri Karangasem</t>
  </si>
  <si>
    <t>Besakih</t>
  </si>
  <si>
    <t>Tirta Gangga</t>
  </si>
  <si>
    <t>Tenganan</t>
  </si>
  <si>
    <t>Padangbai</t>
  </si>
  <si>
    <t>Jemeluk</t>
  </si>
  <si>
    <t>Telaga Waja</t>
  </si>
  <si>
    <t>Tulamben</t>
  </si>
  <si>
    <t>Yeh Malet</t>
  </si>
  <si>
    <t>Candi Dasa</t>
  </si>
  <si>
    <t>Sibetan</t>
  </si>
  <si>
    <t>Taman Ujung</t>
  </si>
  <si>
    <t>Iseh</t>
  </si>
  <si>
    <t>Putung</t>
  </si>
  <si>
    <t>Bukit Jambul</t>
  </si>
  <si>
    <t>Labuhan/ODC</t>
  </si>
  <si>
    <t>Odyssey</t>
  </si>
  <si>
    <t>Virgin Beach</t>
  </si>
  <si>
    <t>Bukit Nampo</t>
  </si>
  <si>
    <t>Bukit Asah</t>
  </si>
  <si>
    <t>VII</t>
  </si>
  <si>
    <t>BULELENG REGENCY</t>
  </si>
  <si>
    <t>Pulaki</t>
  </si>
  <si>
    <t>Lovina, Kalibukbuk</t>
  </si>
  <si>
    <t>Air Panas Banjar</t>
  </si>
  <si>
    <t>Air Sanih</t>
  </si>
  <si>
    <t>Air Terjun Gitgit</t>
  </si>
  <si>
    <t>Makam Jaya Prana</t>
  </si>
  <si>
    <t>Air Panas Banyuwedang</t>
  </si>
  <si>
    <t>Taman Nasional Bali Barat</t>
  </si>
  <si>
    <t>Pura Madue Karang</t>
  </si>
  <si>
    <t>Pura Beji</t>
  </si>
  <si>
    <t>Pura Dalem Jagaraga</t>
  </si>
  <si>
    <t>Kaliasem</t>
  </si>
  <si>
    <t>Danau Buyan</t>
  </si>
  <si>
    <t>Pelabuhan Buleleng</t>
  </si>
  <si>
    <t>Gedong Kertya</t>
  </si>
  <si>
    <t>Air Terjun Les</t>
  </si>
  <si>
    <t>Museum Buleleng</t>
  </si>
  <si>
    <t>Wihara Banjar</t>
  </si>
  <si>
    <t>D. Tamblingan</t>
  </si>
  <si>
    <t>P. Menjangan</t>
  </si>
  <si>
    <t>Air Terjun Munduk</t>
  </si>
  <si>
    <t>Celukan Bawang</t>
  </si>
  <si>
    <t>Kapal Rool Azamara Quests</t>
  </si>
  <si>
    <t>Kapal Seabourn Odyssey</t>
  </si>
  <si>
    <t>Festival Twin Lake</t>
  </si>
  <si>
    <t>Buleleng Festival</t>
  </si>
  <si>
    <t>Porprov Bali Tahun 2015</t>
  </si>
  <si>
    <t>Festival Lovina</t>
  </si>
  <si>
    <t>Promosi MTF Surabaya</t>
  </si>
  <si>
    <t>PKB Kabupaten Buleleng/ Buleleng Expo</t>
  </si>
  <si>
    <t>Utsawa Merdangga Gong Kebyar</t>
  </si>
  <si>
    <t>Kapal Pesiar</t>
  </si>
  <si>
    <t>Karang Kerupit Labuhan Aji</t>
  </si>
  <si>
    <t>Air Terjun Sekumpul</t>
  </si>
  <si>
    <t>Air Terjun Campuhan</t>
  </si>
  <si>
    <t>Air Terjun Bertingkat</t>
  </si>
  <si>
    <t>Genting Dream</t>
  </si>
  <si>
    <t>Azamara Journey</t>
  </si>
  <si>
    <t>MV Star Clipper</t>
  </si>
  <si>
    <t>Aset BBDF</t>
  </si>
  <si>
    <t>Pemuteran Bay Festival</t>
  </si>
  <si>
    <t>Selfie Spot Wanagiri</t>
  </si>
  <si>
    <t>VIII</t>
  </si>
  <si>
    <t>JEMBRANA REGENCY</t>
  </si>
  <si>
    <t>Bunut Bolong</t>
  </si>
  <si>
    <t>Pantai Medewi</t>
  </si>
  <si>
    <t>Rambut Siwi</t>
  </si>
  <si>
    <t>Pantai Delod Berawah</t>
  </si>
  <si>
    <t>Pantai Baluk Rening</t>
  </si>
  <si>
    <t>Bendungan Palasari</t>
  </si>
  <si>
    <t>Gilimanuk</t>
  </si>
  <si>
    <t>Teluk Gilimanuk</t>
  </si>
  <si>
    <t>Sangkar Agung</t>
  </si>
  <si>
    <t>Museum Gilimanuk/Manusia Purba Situs</t>
  </si>
  <si>
    <t>Pantai Perancak</t>
  </si>
  <si>
    <t>Desa Wisata Perancak</t>
  </si>
  <si>
    <t>P. Candi Kusuma</t>
  </si>
  <si>
    <t>Pantai Pengeragoan</t>
  </si>
  <si>
    <t>Pantai Gumbrih</t>
  </si>
  <si>
    <t>Desa Wisata Gumbrih</t>
  </si>
  <si>
    <t>Pantai Pekutatan</t>
  </si>
  <si>
    <t>Desa Wisata Blimbingsari</t>
  </si>
  <si>
    <t>Desa Wisata Ekasari</t>
  </si>
  <si>
    <t>Pantai Yeh Leh</t>
  </si>
  <si>
    <t>Air Terjun Juwuk Manis</t>
  </si>
  <si>
    <t>Green Cliff</t>
  </si>
  <si>
    <t>Desa Wisata Nusantara</t>
  </si>
  <si>
    <t>Puncak JR</t>
  </si>
  <si>
    <t>Sungai Gelar</t>
  </si>
  <si>
    <t>Air Terjun Batu Belah</t>
  </si>
  <si>
    <t>Bendungan Benel</t>
  </si>
  <si>
    <t>Desa Wisata Yeh Embang Kangin</t>
  </si>
  <si>
    <t>Pantai Yeh Sumbul</t>
  </si>
  <si>
    <t>Kolam Renang Delod Berawah</t>
  </si>
  <si>
    <t>Makam Tua Buyut Lebai</t>
  </si>
  <si>
    <t>Pura Gede Perancak</t>
  </si>
  <si>
    <t>Pantai Cupel</t>
  </si>
  <si>
    <t>Munduk Nangka</t>
  </si>
  <si>
    <t>IX</t>
  </si>
  <si>
    <t>KABUPATEN TABANAN</t>
  </si>
  <si>
    <t>Tanah Lot</t>
  </si>
  <si>
    <t>Ulun Danu Beratan</t>
  </si>
  <si>
    <t>Bedugul</t>
  </si>
  <si>
    <t>Kebun Raya Bedugul</t>
  </si>
  <si>
    <t>Candi Puputan Margarana</t>
  </si>
  <si>
    <t>Alas Kedaton</t>
  </si>
  <si>
    <t>Air Panas Penatahan</t>
  </si>
  <si>
    <t>Puri Anyar Kerambitan</t>
  </si>
  <si>
    <t>Puri Gede Kerambitan</t>
  </si>
  <si>
    <t>Museum Subak</t>
  </si>
  <si>
    <t>Jati Luwih</t>
  </si>
  <si>
    <t>Taman Kupu-Kupu</t>
  </si>
  <si>
    <t>Pura Batu Karu</t>
  </si>
  <si>
    <t>TOTAL</t>
  </si>
  <si>
    <t>SOURCE</t>
  </si>
  <si>
    <t>:</t>
  </si>
  <si>
    <t xml:space="preserve">BALI GOVERNMENT TOURISM OFFICE </t>
  </si>
  <si>
    <t>SUMBER</t>
  </si>
  <si>
    <t xml:space="preserve">DINAS PARIWISATA PROVINSI BALI </t>
  </si>
  <si>
    <t>INTEREST IN BALI 2014-2019</t>
  </si>
  <si>
    <t>OBYEK DAN DAYA TARIK WISATA DI BALI TAHUN 2014-2019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</si>
</sst>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1" xfId="0" applyFont="1" applyBorder="1"/>
    <xf numFmtId="0" fontId="2" fillId="0" borderId="1" xfId="0" applyFont="1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9" xfId="0" applyFont="1" applyBorder="1"/>
    <xf numFmtId="0" fontId="3" fillId="0" borderId="0" xfId="0" applyFont="1" applyBorder="1"/>
    <xf numFmtId="0" fontId="3" fillId="0" borderId="10" xfId="0" applyFont="1" applyBorder="1"/>
    <xf numFmtId="3" fontId="3" fillId="0" borderId="12" xfId="0" applyNumberFormat="1" applyFont="1" applyBorder="1"/>
    <xf numFmtId="0" fontId="3" fillId="0" borderId="12" xfId="0" applyFont="1" applyBorder="1"/>
    <xf numFmtId="0" fontId="3" fillId="0" borderId="13" xfId="0" applyFont="1" applyBorder="1"/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3" fillId="2" borderId="14" xfId="0" applyFont="1" applyFill="1" applyBorder="1"/>
    <xf numFmtId="3" fontId="3" fillId="2" borderId="12" xfId="0" applyNumberFormat="1" applyFont="1" applyFill="1" applyBorder="1"/>
    <xf numFmtId="3" fontId="3" fillId="2" borderId="14" xfId="0" applyNumberFormat="1" applyFont="1" applyFill="1" applyBorder="1"/>
    <xf numFmtId="3" fontId="3" fillId="0" borderId="12" xfId="0" applyNumberFormat="1" applyFont="1" applyBorder="1" applyAlignment="1">
      <alignment horizontal="right"/>
    </xf>
    <xf numFmtId="3" fontId="3" fillId="2" borderId="14" xfId="0" applyNumberFormat="1" applyFont="1" applyFill="1" applyBorder="1" applyAlignment="1">
      <alignment horizontal="right"/>
    </xf>
    <xf numFmtId="3" fontId="3" fillId="0" borderId="12" xfId="0" quotePrefix="1" applyNumberFormat="1" applyFont="1" applyBorder="1" applyAlignment="1">
      <alignment horizontal="right"/>
    </xf>
    <xf numFmtId="3" fontId="3" fillId="2" borderId="14" xfId="0" quotePrefix="1" applyNumberFormat="1" applyFont="1" applyFill="1" applyBorder="1" applyAlignment="1">
      <alignment horizontal="right"/>
    </xf>
    <xf numFmtId="3" fontId="3" fillId="2" borderId="15" xfId="0" quotePrefix="1" applyNumberFormat="1" applyFont="1" applyFill="1" applyBorder="1" applyAlignment="1">
      <alignment horizontal="right"/>
    </xf>
    <xf numFmtId="0" fontId="3" fillId="0" borderId="16" xfId="0" applyFont="1" applyBorder="1"/>
    <xf numFmtId="0" fontId="1" fillId="0" borderId="17" xfId="0" applyFont="1" applyBorder="1"/>
    <xf numFmtId="41" fontId="1" fillId="0" borderId="11" xfId="0" applyNumberFormat="1" applyFont="1" applyBorder="1"/>
    <xf numFmtId="0" fontId="1" fillId="0" borderId="10" xfId="0" applyFont="1" applyBorder="1"/>
    <xf numFmtId="41" fontId="3" fillId="0" borderId="12" xfId="0" applyNumberFormat="1" applyFont="1" applyBorder="1"/>
    <xf numFmtId="0" fontId="3" fillId="0" borderId="17" xfId="0" applyFont="1" applyBorder="1"/>
    <xf numFmtId="41" fontId="3" fillId="0" borderId="12" xfId="0" quotePrefix="1" applyNumberFormat="1" applyFont="1" applyBorder="1" applyAlignment="1">
      <alignment horizontal="right"/>
    </xf>
    <xf numFmtId="0" fontId="1" fillId="0" borderId="16" xfId="0" applyFont="1" applyBorder="1"/>
    <xf numFmtId="3" fontId="0" fillId="0" borderId="0" xfId="0" applyNumberFormat="1"/>
    <xf numFmtId="0" fontId="1" fillId="0" borderId="3" xfId="0" applyFont="1" applyBorder="1" applyAlignment="1">
      <alignment horizontal="center"/>
    </xf>
    <xf numFmtId="0" fontId="3" fillId="0" borderId="3" xfId="0" applyFont="1" applyBorder="1"/>
    <xf numFmtId="0" fontId="1" fillId="0" borderId="4" xfId="0" applyFont="1" applyBorder="1"/>
    <xf numFmtId="0" fontId="1" fillId="0" borderId="5" xfId="0" applyFont="1" applyBorder="1"/>
    <xf numFmtId="41" fontId="3" fillId="0" borderId="2" xfId="0" applyNumberFormat="1" applyFont="1" applyBorder="1"/>
    <xf numFmtId="3" fontId="3" fillId="0" borderId="2" xfId="0" applyNumberFormat="1" applyFont="1" applyBorder="1"/>
    <xf numFmtId="3" fontId="3" fillId="0" borderId="10" xfId="0" applyNumberFormat="1" applyFont="1" applyBorder="1"/>
    <xf numFmtId="0" fontId="3" fillId="0" borderId="7" xfId="0" applyFont="1" applyBorder="1"/>
    <xf numFmtId="0" fontId="3" fillId="0" borderId="1" xfId="0" applyFont="1" applyBorder="1"/>
    <xf numFmtId="3" fontId="3" fillId="0" borderId="6" xfId="0" applyNumberFormat="1" applyFont="1" applyBorder="1"/>
    <xf numFmtId="41" fontId="3" fillId="0" borderId="0" xfId="0" applyNumberFormat="1" applyFont="1"/>
    <xf numFmtId="3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12" xfId="0" applyFont="1" applyBorder="1" applyAlignment="1">
      <alignment horizontal="center"/>
    </xf>
    <xf numFmtId="0" fontId="3" fillId="0" borderId="10" xfId="0" applyFont="1" applyFill="1" applyBorder="1"/>
    <xf numFmtId="0" fontId="1" fillId="0" borderId="12" xfId="0" applyFont="1" applyBorder="1" applyAlignment="1">
      <alignment horizontal="center"/>
    </xf>
    <xf numFmtId="0" fontId="3" fillId="2" borderId="10" xfId="0" applyFont="1" applyFill="1" applyBorder="1"/>
    <xf numFmtId="0" fontId="3" fillId="0" borderId="18" xfId="0" applyFont="1" applyBorder="1"/>
    <xf numFmtId="0" fontId="3" fillId="0" borderId="8" xfId="0" applyFont="1" applyBorder="1"/>
    <xf numFmtId="3" fontId="3" fillId="0" borderId="6" xfId="0" applyNumberFormat="1" applyFont="1" applyBorder="1" applyAlignment="1">
      <alignment horizontal="right"/>
    </xf>
    <xf numFmtId="41" fontId="1" fillId="0" borderId="6" xfId="0" applyNumberFormat="1" applyFont="1" applyBorder="1"/>
    <xf numFmtId="0" fontId="3" fillId="0" borderId="11" xfId="0" applyFont="1" applyBorder="1"/>
    <xf numFmtId="0" fontId="1" fillId="0" borderId="8" xfId="0" applyFont="1" applyBorder="1" applyAlignment="1">
      <alignment vertical="center"/>
    </xf>
    <xf numFmtId="3" fontId="1" fillId="0" borderId="11" xfId="0" applyNumberFormat="1" applyFont="1" applyBorder="1" applyAlignment="1">
      <alignment horizontal="right" vertical="center"/>
    </xf>
    <xf numFmtId="2" fontId="0" fillId="0" borderId="0" xfId="0" applyNumberFormat="1"/>
    <xf numFmtId="3" fontId="0" fillId="0" borderId="4" xfId="0" applyNumberFormat="1" applyFill="1" applyBorder="1"/>
    <xf numFmtId="0" fontId="2" fillId="0" borderId="0" xfId="0" applyFont="1"/>
    <xf numFmtId="0" fontId="0" fillId="0" borderId="0" xfId="0" applyAlignment="1">
      <alignment horizontal="center" vertical="center"/>
    </xf>
    <xf numFmtId="41" fontId="0" fillId="0" borderId="0" xfId="0" applyNumberFormat="1"/>
    <xf numFmtId="41" fontId="4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3" fontId="3" fillId="0" borderId="8" xfId="0" applyNumberFormat="1" applyFont="1" applyBorder="1" applyAlignment="1"/>
    <xf numFmtId="3" fontId="3" fillId="0" borderId="6" xfId="0" applyNumberFormat="1" applyFont="1" applyBorder="1" applyAlignment="1"/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tabSelected="1" topLeftCell="A190" workbookViewId="0">
      <selection activeCell="N38" sqref="N38"/>
    </sheetView>
  </sheetViews>
  <sheetFormatPr defaultRowHeight="14.4" x14ac:dyDescent="0.3"/>
  <cols>
    <col min="2" max="2" width="2.44140625" customWidth="1"/>
    <col min="3" max="3" width="2" customWidth="1"/>
    <col min="4" max="4" width="35.21875" customWidth="1"/>
    <col min="5" max="10" width="10.77734375" customWidth="1"/>
    <col min="11" max="11" width="11.77734375" customWidth="1"/>
    <col min="12" max="12" width="10.21875" customWidth="1"/>
    <col min="13" max="13" width="9.6640625" bestFit="1" customWidth="1"/>
    <col min="257" max="257" width="2.44140625" customWidth="1"/>
    <col min="258" max="258" width="2" customWidth="1"/>
    <col min="259" max="259" width="35.21875" customWidth="1"/>
    <col min="260" max="266" width="10.77734375" customWidth="1"/>
    <col min="513" max="513" width="2.44140625" customWidth="1"/>
    <col min="514" max="514" width="2" customWidth="1"/>
    <col min="515" max="515" width="35.21875" customWidth="1"/>
    <col min="516" max="522" width="10.77734375" customWidth="1"/>
    <col min="769" max="769" width="2.44140625" customWidth="1"/>
    <col min="770" max="770" width="2" customWidth="1"/>
    <col min="771" max="771" width="35.21875" customWidth="1"/>
    <col min="772" max="778" width="10.77734375" customWidth="1"/>
    <col min="1025" max="1025" width="2.44140625" customWidth="1"/>
    <col min="1026" max="1026" width="2" customWidth="1"/>
    <col min="1027" max="1027" width="35.21875" customWidth="1"/>
    <col min="1028" max="1034" width="10.77734375" customWidth="1"/>
    <col min="1281" max="1281" width="2.44140625" customWidth="1"/>
    <col min="1282" max="1282" width="2" customWidth="1"/>
    <col min="1283" max="1283" width="35.21875" customWidth="1"/>
    <col min="1284" max="1290" width="10.77734375" customWidth="1"/>
    <col min="1537" max="1537" width="2.44140625" customWidth="1"/>
    <col min="1538" max="1538" width="2" customWidth="1"/>
    <col min="1539" max="1539" width="35.21875" customWidth="1"/>
    <col min="1540" max="1546" width="10.77734375" customWidth="1"/>
    <col min="1793" max="1793" width="2.44140625" customWidth="1"/>
    <col min="1794" max="1794" width="2" customWidth="1"/>
    <col min="1795" max="1795" width="35.21875" customWidth="1"/>
    <col min="1796" max="1802" width="10.77734375" customWidth="1"/>
    <col min="2049" max="2049" width="2.44140625" customWidth="1"/>
    <col min="2050" max="2050" width="2" customWidth="1"/>
    <col min="2051" max="2051" width="35.21875" customWidth="1"/>
    <col min="2052" max="2058" width="10.77734375" customWidth="1"/>
    <col min="2305" max="2305" width="2.44140625" customWidth="1"/>
    <col min="2306" max="2306" width="2" customWidth="1"/>
    <col min="2307" max="2307" width="35.21875" customWidth="1"/>
    <col min="2308" max="2314" width="10.77734375" customWidth="1"/>
    <col min="2561" max="2561" width="2.44140625" customWidth="1"/>
    <col min="2562" max="2562" width="2" customWidth="1"/>
    <col min="2563" max="2563" width="35.21875" customWidth="1"/>
    <col min="2564" max="2570" width="10.77734375" customWidth="1"/>
    <col min="2817" max="2817" width="2.44140625" customWidth="1"/>
    <col min="2818" max="2818" width="2" customWidth="1"/>
    <col min="2819" max="2819" width="35.21875" customWidth="1"/>
    <col min="2820" max="2826" width="10.77734375" customWidth="1"/>
    <col min="3073" max="3073" width="2.44140625" customWidth="1"/>
    <col min="3074" max="3074" width="2" customWidth="1"/>
    <col min="3075" max="3075" width="35.21875" customWidth="1"/>
    <col min="3076" max="3082" width="10.77734375" customWidth="1"/>
    <col min="3329" max="3329" width="2.44140625" customWidth="1"/>
    <col min="3330" max="3330" width="2" customWidth="1"/>
    <col min="3331" max="3331" width="35.21875" customWidth="1"/>
    <col min="3332" max="3338" width="10.77734375" customWidth="1"/>
    <col min="3585" max="3585" width="2.44140625" customWidth="1"/>
    <col min="3586" max="3586" width="2" customWidth="1"/>
    <col min="3587" max="3587" width="35.21875" customWidth="1"/>
    <col min="3588" max="3594" width="10.77734375" customWidth="1"/>
    <col min="3841" max="3841" width="2.44140625" customWidth="1"/>
    <col min="3842" max="3842" width="2" customWidth="1"/>
    <col min="3843" max="3843" width="35.21875" customWidth="1"/>
    <col min="3844" max="3850" width="10.77734375" customWidth="1"/>
    <col min="4097" max="4097" width="2.44140625" customWidth="1"/>
    <col min="4098" max="4098" width="2" customWidth="1"/>
    <col min="4099" max="4099" width="35.21875" customWidth="1"/>
    <col min="4100" max="4106" width="10.77734375" customWidth="1"/>
    <col min="4353" max="4353" width="2.44140625" customWidth="1"/>
    <col min="4354" max="4354" width="2" customWidth="1"/>
    <col min="4355" max="4355" width="35.21875" customWidth="1"/>
    <col min="4356" max="4362" width="10.77734375" customWidth="1"/>
    <col min="4609" max="4609" width="2.44140625" customWidth="1"/>
    <col min="4610" max="4610" width="2" customWidth="1"/>
    <col min="4611" max="4611" width="35.21875" customWidth="1"/>
    <col min="4612" max="4618" width="10.77734375" customWidth="1"/>
    <col min="4865" max="4865" width="2.44140625" customWidth="1"/>
    <col min="4866" max="4866" width="2" customWidth="1"/>
    <col min="4867" max="4867" width="35.21875" customWidth="1"/>
    <col min="4868" max="4874" width="10.77734375" customWidth="1"/>
    <col min="5121" max="5121" width="2.44140625" customWidth="1"/>
    <col min="5122" max="5122" width="2" customWidth="1"/>
    <col min="5123" max="5123" width="35.21875" customWidth="1"/>
    <col min="5124" max="5130" width="10.77734375" customWidth="1"/>
    <col min="5377" max="5377" width="2.44140625" customWidth="1"/>
    <col min="5378" max="5378" width="2" customWidth="1"/>
    <col min="5379" max="5379" width="35.21875" customWidth="1"/>
    <col min="5380" max="5386" width="10.77734375" customWidth="1"/>
    <col min="5633" max="5633" width="2.44140625" customWidth="1"/>
    <col min="5634" max="5634" width="2" customWidth="1"/>
    <col min="5635" max="5635" width="35.21875" customWidth="1"/>
    <col min="5636" max="5642" width="10.77734375" customWidth="1"/>
    <col min="5889" max="5889" width="2.44140625" customWidth="1"/>
    <col min="5890" max="5890" width="2" customWidth="1"/>
    <col min="5891" max="5891" width="35.21875" customWidth="1"/>
    <col min="5892" max="5898" width="10.77734375" customWidth="1"/>
    <col min="6145" max="6145" width="2.44140625" customWidth="1"/>
    <col min="6146" max="6146" width="2" customWidth="1"/>
    <col min="6147" max="6147" width="35.21875" customWidth="1"/>
    <col min="6148" max="6154" width="10.77734375" customWidth="1"/>
    <col min="6401" max="6401" width="2.44140625" customWidth="1"/>
    <col min="6402" max="6402" width="2" customWidth="1"/>
    <col min="6403" max="6403" width="35.21875" customWidth="1"/>
    <col min="6404" max="6410" width="10.77734375" customWidth="1"/>
    <col min="6657" max="6657" width="2.44140625" customWidth="1"/>
    <col min="6658" max="6658" width="2" customWidth="1"/>
    <col min="6659" max="6659" width="35.21875" customWidth="1"/>
    <col min="6660" max="6666" width="10.77734375" customWidth="1"/>
    <col min="6913" max="6913" width="2.44140625" customWidth="1"/>
    <col min="6914" max="6914" width="2" customWidth="1"/>
    <col min="6915" max="6915" width="35.21875" customWidth="1"/>
    <col min="6916" max="6922" width="10.77734375" customWidth="1"/>
    <col min="7169" max="7169" width="2.44140625" customWidth="1"/>
    <col min="7170" max="7170" width="2" customWidth="1"/>
    <col min="7171" max="7171" width="35.21875" customWidth="1"/>
    <col min="7172" max="7178" width="10.77734375" customWidth="1"/>
    <col min="7425" max="7425" width="2.44140625" customWidth="1"/>
    <col min="7426" max="7426" width="2" customWidth="1"/>
    <col min="7427" max="7427" width="35.21875" customWidth="1"/>
    <col min="7428" max="7434" width="10.77734375" customWidth="1"/>
    <col min="7681" max="7681" width="2.44140625" customWidth="1"/>
    <col min="7682" max="7682" width="2" customWidth="1"/>
    <col min="7683" max="7683" width="35.21875" customWidth="1"/>
    <col min="7684" max="7690" width="10.77734375" customWidth="1"/>
    <col min="7937" max="7937" width="2.44140625" customWidth="1"/>
    <col min="7938" max="7938" width="2" customWidth="1"/>
    <col min="7939" max="7939" width="35.21875" customWidth="1"/>
    <col min="7940" max="7946" width="10.77734375" customWidth="1"/>
    <col min="8193" max="8193" width="2.44140625" customWidth="1"/>
    <col min="8194" max="8194" width="2" customWidth="1"/>
    <col min="8195" max="8195" width="35.21875" customWidth="1"/>
    <col min="8196" max="8202" width="10.77734375" customWidth="1"/>
    <col min="8449" max="8449" width="2.44140625" customWidth="1"/>
    <col min="8450" max="8450" width="2" customWidth="1"/>
    <col min="8451" max="8451" width="35.21875" customWidth="1"/>
    <col min="8452" max="8458" width="10.77734375" customWidth="1"/>
    <col min="8705" max="8705" width="2.44140625" customWidth="1"/>
    <col min="8706" max="8706" width="2" customWidth="1"/>
    <col min="8707" max="8707" width="35.21875" customWidth="1"/>
    <col min="8708" max="8714" width="10.77734375" customWidth="1"/>
    <col min="8961" max="8961" width="2.44140625" customWidth="1"/>
    <col min="8962" max="8962" width="2" customWidth="1"/>
    <col min="8963" max="8963" width="35.21875" customWidth="1"/>
    <col min="8964" max="8970" width="10.77734375" customWidth="1"/>
    <col min="9217" max="9217" width="2.44140625" customWidth="1"/>
    <col min="9218" max="9218" width="2" customWidth="1"/>
    <col min="9219" max="9219" width="35.21875" customWidth="1"/>
    <col min="9220" max="9226" width="10.77734375" customWidth="1"/>
    <col min="9473" max="9473" width="2.44140625" customWidth="1"/>
    <col min="9474" max="9474" width="2" customWidth="1"/>
    <col min="9475" max="9475" width="35.21875" customWidth="1"/>
    <col min="9476" max="9482" width="10.77734375" customWidth="1"/>
    <col min="9729" max="9729" width="2.44140625" customWidth="1"/>
    <col min="9730" max="9730" width="2" customWidth="1"/>
    <col min="9731" max="9731" width="35.21875" customWidth="1"/>
    <col min="9732" max="9738" width="10.77734375" customWidth="1"/>
    <col min="9985" max="9985" width="2.44140625" customWidth="1"/>
    <col min="9986" max="9986" width="2" customWidth="1"/>
    <col min="9987" max="9987" width="35.21875" customWidth="1"/>
    <col min="9988" max="9994" width="10.77734375" customWidth="1"/>
    <col min="10241" max="10241" width="2.44140625" customWidth="1"/>
    <col min="10242" max="10242" width="2" customWidth="1"/>
    <col min="10243" max="10243" width="35.21875" customWidth="1"/>
    <col min="10244" max="10250" width="10.77734375" customWidth="1"/>
    <col min="10497" max="10497" width="2.44140625" customWidth="1"/>
    <col min="10498" max="10498" width="2" customWidth="1"/>
    <col min="10499" max="10499" width="35.21875" customWidth="1"/>
    <col min="10500" max="10506" width="10.77734375" customWidth="1"/>
    <col min="10753" max="10753" width="2.44140625" customWidth="1"/>
    <col min="10754" max="10754" width="2" customWidth="1"/>
    <col min="10755" max="10755" width="35.21875" customWidth="1"/>
    <col min="10756" max="10762" width="10.77734375" customWidth="1"/>
    <col min="11009" max="11009" width="2.44140625" customWidth="1"/>
    <col min="11010" max="11010" width="2" customWidth="1"/>
    <col min="11011" max="11011" width="35.21875" customWidth="1"/>
    <col min="11012" max="11018" width="10.77734375" customWidth="1"/>
    <col min="11265" max="11265" width="2.44140625" customWidth="1"/>
    <col min="11266" max="11266" width="2" customWidth="1"/>
    <col min="11267" max="11267" width="35.21875" customWidth="1"/>
    <col min="11268" max="11274" width="10.77734375" customWidth="1"/>
    <col min="11521" max="11521" width="2.44140625" customWidth="1"/>
    <col min="11522" max="11522" width="2" customWidth="1"/>
    <col min="11523" max="11523" width="35.21875" customWidth="1"/>
    <col min="11524" max="11530" width="10.77734375" customWidth="1"/>
    <col min="11777" max="11777" width="2.44140625" customWidth="1"/>
    <col min="11778" max="11778" width="2" customWidth="1"/>
    <col min="11779" max="11779" width="35.21875" customWidth="1"/>
    <col min="11780" max="11786" width="10.77734375" customWidth="1"/>
    <col min="12033" max="12033" width="2.44140625" customWidth="1"/>
    <col min="12034" max="12034" width="2" customWidth="1"/>
    <col min="12035" max="12035" width="35.21875" customWidth="1"/>
    <col min="12036" max="12042" width="10.77734375" customWidth="1"/>
    <col min="12289" max="12289" width="2.44140625" customWidth="1"/>
    <col min="12290" max="12290" width="2" customWidth="1"/>
    <col min="12291" max="12291" width="35.21875" customWidth="1"/>
    <col min="12292" max="12298" width="10.77734375" customWidth="1"/>
    <col min="12545" max="12545" width="2.44140625" customWidth="1"/>
    <col min="12546" max="12546" width="2" customWidth="1"/>
    <col min="12547" max="12547" width="35.21875" customWidth="1"/>
    <col min="12548" max="12554" width="10.77734375" customWidth="1"/>
    <col min="12801" max="12801" width="2.44140625" customWidth="1"/>
    <col min="12802" max="12802" width="2" customWidth="1"/>
    <col min="12803" max="12803" width="35.21875" customWidth="1"/>
    <col min="12804" max="12810" width="10.77734375" customWidth="1"/>
    <col min="13057" max="13057" width="2.44140625" customWidth="1"/>
    <col min="13058" max="13058" width="2" customWidth="1"/>
    <col min="13059" max="13059" width="35.21875" customWidth="1"/>
    <col min="13060" max="13066" width="10.77734375" customWidth="1"/>
    <col min="13313" max="13313" width="2.44140625" customWidth="1"/>
    <col min="13314" max="13314" width="2" customWidth="1"/>
    <col min="13315" max="13315" width="35.21875" customWidth="1"/>
    <col min="13316" max="13322" width="10.77734375" customWidth="1"/>
    <col min="13569" max="13569" width="2.44140625" customWidth="1"/>
    <col min="13570" max="13570" width="2" customWidth="1"/>
    <col min="13571" max="13571" width="35.21875" customWidth="1"/>
    <col min="13572" max="13578" width="10.77734375" customWidth="1"/>
    <col min="13825" max="13825" width="2.44140625" customWidth="1"/>
    <col min="13826" max="13826" width="2" customWidth="1"/>
    <col min="13827" max="13827" width="35.21875" customWidth="1"/>
    <col min="13828" max="13834" width="10.77734375" customWidth="1"/>
    <col min="14081" max="14081" width="2.44140625" customWidth="1"/>
    <col min="14082" max="14082" width="2" customWidth="1"/>
    <col min="14083" max="14083" width="35.21875" customWidth="1"/>
    <col min="14084" max="14090" width="10.77734375" customWidth="1"/>
    <col min="14337" max="14337" width="2.44140625" customWidth="1"/>
    <col min="14338" max="14338" width="2" customWidth="1"/>
    <col min="14339" max="14339" width="35.21875" customWidth="1"/>
    <col min="14340" max="14346" width="10.77734375" customWidth="1"/>
    <col min="14593" max="14593" width="2.44140625" customWidth="1"/>
    <col min="14594" max="14594" width="2" customWidth="1"/>
    <col min="14595" max="14595" width="35.21875" customWidth="1"/>
    <col min="14596" max="14602" width="10.77734375" customWidth="1"/>
    <col min="14849" max="14849" width="2.44140625" customWidth="1"/>
    <col min="14850" max="14850" width="2" customWidth="1"/>
    <col min="14851" max="14851" width="35.21875" customWidth="1"/>
    <col min="14852" max="14858" width="10.77734375" customWidth="1"/>
    <col min="15105" max="15105" width="2.44140625" customWidth="1"/>
    <col min="15106" max="15106" width="2" customWidth="1"/>
    <col min="15107" max="15107" width="35.21875" customWidth="1"/>
    <col min="15108" max="15114" width="10.77734375" customWidth="1"/>
    <col min="15361" max="15361" width="2.44140625" customWidth="1"/>
    <col min="15362" max="15362" width="2" customWidth="1"/>
    <col min="15363" max="15363" width="35.21875" customWidth="1"/>
    <col min="15364" max="15370" width="10.77734375" customWidth="1"/>
    <col min="15617" max="15617" width="2.44140625" customWidth="1"/>
    <col min="15618" max="15618" width="2" customWidth="1"/>
    <col min="15619" max="15619" width="35.21875" customWidth="1"/>
    <col min="15620" max="15626" width="10.77734375" customWidth="1"/>
    <col min="15873" max="15873" width="2.44140625" customWidth="1"/>
    <col min="15874" max="15874" width="2" customWidth="1"/>
    <col min="15875" max="15875" width="35.21875" customWidth="1"/>
    <col min="15876" max="15882" width="10.77734375" customWidth="1"/>
    <col min="16129" max="16129" width="2.44140625" customWidth="1"/>
    <col min="16130" max="16130" width="2" customWidth="1"/>
    <col min="16131" max="16131" width="35.21875" customWidth="1"/>
    <col min="16132" max="16138" width="10.77734375" customWidth="1"/>
  </cols>
  <sheetData>
    <row r="1" spans="1:12" x14ac:dyDescent="0.3">
      <c r="A1" s="1"/>
      <c r="B1" s="2"/>
      <c r="C1" s="2"/>
      <c r="D1" s="2" t="s">
        <v>0</v>
      </c>
      <c r="E1" s="1"/>
      <c r="F1" s="1"/>
      <c r="G1" s="1"/>
    </row>
    <row r="2" spans="1:12" x14ac:dyDescent="0.3">
      <c r="A2" s="3" t="s">
        <v>1</v>
      </c>
      <c r="B2" s="2"/>
      <c r="C2" s="2"/>
      <c r="D2" s="3" t="s">
        <v>201</v>
      </c>
      <c r="E2" s="4"/>
      <c r="F2" s="1"/>
      <c r="G2" s="1"/>
    </row>
    <row r="3" spans="1:12" x14ac:dyDescent="0.3">
      <c r="A3" s="2" t="s">
        <v>2</v>
      </c>
      <c r="B3" s="2"/>
      <c r="C3" s="2"/>
      <c r="D3" s="2" t="s">
        <v>3</v>
      </c>
      <c r="E3" s="1"/>
      <c r="F3" s="1"/>
      <c r="G3" s="1"/>
    </row>
    <row r="4" spans="1:12" x14ac:dyDescent="0.3">
      <c r="A4" s="2"/>
      <c r="B4" s="2"/>
      <c r="C4" s="2"/>
      <c r="D4" s="2" t="s">
        <v>202</v>
      </c>
      <c r="E4" s="1"/>
      <c r="F4" s="1"/>
      <c r="G4" s="1"/>
    </row>
    <row r="5" spans="1:12" x14ac:dyDescent="0.3">
      <c r="A5" s="1"/>
      <c r="B5" s="1"/>
      <c r="C5" s="1"/>
      <c r="D5" s="1"/>
      <c r="E5" s="1"/>
      <c r="F5" s="1"/>
      <c r="G5" s="1"/>
    </row>
    <row r="6" spans="1:12" x14ac:dyDescent="0.3">
      <c r="A6" s="80" t="s">
        <v>4</v>
      </c>
      <c r="B6" s="5"/>
      <c r="C6" s="6"/>
      <c r="D6" s="75" t="s">
        <v>5</v>
      </c>
      <c r="E6" s="82">
        <v>2014</v>
      </c>
      <c r="F6" s="82">
        <v>2015</v>
      </c>
      <c r="G6" s="82">
        <v>2016</v>
      </c>
      <c r="H6" s="82">
        <v>2017</v>
      </c>
      <c r="I6" s="74">
        <v>2018</v>
      </c>
      <c r="J6" s="75"/>
      <c r="K6" s="74">
        <v>2019</v>
      </c>
      <c r="L6" s="75"/>
    </row>
    <row r="7" spans="1:12" x14ac:dyDescent="0.3">
      <c r="A7" s="81"/>
      <c r="B7" s="7"/>
      <c r="C7" s="8"/>
      <c r="D7" s="77"/>
      <c r="E7" s="83"/>
      <c r="F7" s="83"/>
      <c r="G7" s="83"/>
      <c r="H7" s="83"/>
      <c r="I7" s="76"/>
      <c r="J7" s="77"/>
      <c r="K7" s="76"/>
      <c r="L7" s="77"/>
    </row>
    <row r="8" spans="1:12" x14ac:dyDescent="0.3">
      <c r="A8" s="9"/>
      <c r="B8" s="10"/>
      <c r="C8" s="11"/>
      <c r="D8" s="12"/>
      <c r="E8" s="71"/>
      <c r="F8" s="71"/>
      <c r="G8" s="71"/>
      <c r="H8" s="71"/>
      <c r="I8" s="13" t="s">
        <v>6</v>
      </c>
      <c r="J8" s="13" t="s">
        <v>7</v>
      </c>
      <c r="K8" s="13" t="s">
        <v>6</v>
      </c>
      <c r="L8" s="13" t="s">
        <v>7</v>
      </c>
    </row>
    <row r="9" spans="1:12" x14ac:dyDescent="0.3">
      <c r="A9" s="10"/>
      <c r="B9" s="14"/>
      <c r="C9" s="15"/>
      <c r="D9" s="16"/>
      <c r="E9" s="17"/>
      <c r="F9" s="18"/>
      <c r="G9" s="18"/>
      <c r="H9" s="18"/>
      <c r="I9" s="19"/>
      <c r="J9" s="19"/>
      <c r="K9" s="19"/>
      <c r="L9" s="19"/>
    </row>
    <row r="10" spans="1:12" x14ac:dyDescent="0.3">
      <c r="A10" s="20" t="s">
        <v>8</v>
      </c>
      <c r="B10" s="21"/>
      <c r="C10" s="2" t="s">
        <v>9</v>
      </c>
      <c r="D10" s="16"/>
      <c r="E10" s="17"/>
      <c r="F10" s="18"/>
      <c r="G10" s="18"/>
      <c r="H10" s="18"/>
      <c r="I10" s="22"/>
      <c r="J10" s="22"/>
      <c r="K10" s="22"/>
      <c r="L10" s="22"/>
    </row>
    <row r="11" spans="1:12" x14ac:dyDescent="0.3">
      <c r="A11" s="10">
        <v>1</v>
      </c>
      <c r="B11" s="14"/>
      <c r="C11" s="15"/>
      <c r="D11" s="16" t="s">
        <v>10</v>
      </c>
      <c r="E11" s="17">
        <v>42988</v>
      </c>
      <c r="F11" s="17">
        <v>37532</v>
      </c>
      <c r="G11" s="17">
        <v>38437</v>
      </c>
      <c r="H11" s="23">
        <v>31693</v>
      </c>
      <c r="I11" s="24">
        <v>18927</v>
      </c>
      <c r="J11" s="24">
        <v>16704</v>
      </c>
      <c r="K11" s="24">
        <v>18815</v>
      </c>
      <c r="L11" s="24">
        <v>13457</v>
      </c>
    </row>
    <row r="12" spans="1:12" x14ac:dyDescent="0.3">
      <c r="A12" s="10">
        <v>2</v>
      </c>
      <c r="B12" s="14"/>
      <c r="C12" s="15"/>
      <c r="D12" s="16" t="s">
        <v>11</v>
      </c>
      <c r="E12" s="17">
        <v>5596</v>
      </c>
      <c r="F12" s="17">
        <v>5265</v>
      </c>
      <c r="G12" s="17">
        <v>6194</v>
      </c>
      <c r="H12" s="17">
        <v>5229</v>
      </c>
      <c r="I12" s="24">
        <v>1798</v>
      </c>
      <c r="J12" s="24">
        <v>3324</v>
      </c>
      <c r="K12" s="24">
        <v>1108</v>
      </c>
      <c r="L12" s="24">
        <v>2476</v>
      </c>
    </row>
    <row r="13" spans="1:12" x14ac:dyDescent="0.3">
      <c r="A13" s="10">
        <v>3</v>
      </c>
      <c r="B13" s="14"/>
      <c r="C13" s="15"/>
      <c r="D13" s="16" t="s">
        <v>12</v>
      </c>
      <c r="E13" s="17">
        <v>14312</v>
      </c>
      <c r="F13" s="17">
        <v>15704</v>
      </c>
      <c r="G13" s="17">
        <v>14345</v>
      </c>
      <c r="H13" s="17">
        <v>10300</v>
      </c>
      <c r="I13" s="24">
        <v>5078</v>
      </c>
      <c r="J13" s="24">
        <v>2286</v>
      </c>
      <c r="K13" s="24">
        <v>6357</v>
      </c>
      <c r="L13" s="24">
        <v>1196</v>
      </c>
    </row>
    <row r="14" spans="1:12" x14ac:dyDescent="0.3">
      <c r="A14" s="10">
        <v>4</v>
      </c>
      <c r="B14" s="14"/>
      <c r="C14" s="15"/>
      <c r="D14" s="16" t="s">
        <v>13</v>
      </c>
      <c r="E14" s="17">
        <v>212361</v>
      </c>
      <c r="F14" s="17">
        <v>125643</v>
      </c>
      <c r="G14" s="17">
        <v>16303</v>
      </c>
      <c r="H14" s="17">
        <v>28005</v>
      </c>
      <c r="I14" s="24">
        <v>9799</v>
      </c>
      <c r="J14" s="24">
        <v>28628</v>
      </c>
      <c r="K14" s="24">
        <v>12568</v>
      </c>
      <c r="L14" s="24">
        <v>35709</v>
      </c>
    </row>
    <row r="15" spans="1:12" x14ac:dyDescent="0.3">
      <c r="A15" s="10">
        <v>5</v>
      </c>
      <c r="B15" s="14"/>
      <c r="C15" s="15"/>
      <c r="D15" s="16" t="s">
        <v>14</v>
      </c>
      <c r="E15" s="17">
        <v>374</v>
      </c>
      <c r="F15" s="17">
        <v>463</v>
      </c>
      <c r="G15" s="17">
        <v>313</v>
      </c>
      <c r="H15" s="17">
        <v>211</v>
      </c>
      <c r="I15" s="24">
        <v>121</v>
      </c>
      <c r="J15" s="24">
        <v>133</v>
      </c>
      <c r="K15" s="24">
        <v>0</v>
      </c>
      <c r="L15" s="24">
        <v>0</v>
      </c>
    </row>
    <row r="16" spans="1:12" x14ac:dyDescent="0.3">
      <c r="A16" s="10">
        <v>6</v>
      </c>
      <c r="B16" s="14"/>
      <c r="C16" s="15"/>
      <c r="D16" s="16" t="s">
        <v>15</v>
      </c>
      <c r="E16" s="17">
        <v>13117</v>
      </c>
      <c r="F16" s="17">
        <v>13592</v>
      </c>
      <c r="G16" s="25">
        <v>11123</v>
      </c>
      <c r="H16" s="25">
        <v>10464</v>
      </c>
      <c r="I16" s="26">
        <v>0</v>
      </c>
      <c r="J16" s="26">
        <v>7856</v>
      </c>
      <c r="K16" s="26">
        <v>0</v>
      </c>
      <c r="L16" s="26">
        <v>6035</v>
      </c>
    </row>
    <row r="17" spans="1:12" x14ac:dyDescent="0.3">
      <c r="A17" s="10">
        <v>7</v>
      </c>
      <c r="B17" s="14"/>
      <c r="C17" s="15"/>
      <c r="D17" s="16" t="s">
        <v>16</v>
      </c>
      <c r="E17" s="17">
        <v>16190</v>
      </c>
      <c r="F17" s="17">
        <v>20533</v>
      </c>
      <c r="G17" s="17">
        <v>4114</v>
      </c>
      <c r="H17" s="27">
        <v>0</v>
      </c>
      <c r="I17" s="28">
        <v>0</v>
      </c>
      <c r="J17" s="28">
        <v>0</v>
      </c>
      <c r="K17" s="28">
        <v>0</v>
      </c>
      <c r="L17" s="28">
        <v>9836</v>
      </c>
    </row>
    <row r="18" spans="1:12" x14ac:dyDescent="0.3">
      <c r="A18" s="10">
        <v>8</v>
      </c>
      <c r="B18" s="14"/>
      <c r="C18" s="15"/>
      <c r="D18" s="16" t="s">
        <v>18</v>
      </c>
      <c r="E18" s="17">
        <v>537</v>
      </c>
      <c r="F18" s="17">
        <v>6937</v>
      </c>
      <c r="G18" s="17">
        <v>425</v>
      </c>
      <c r="H18" s="17">
        <v>429</v>
      </c>
      <c r="I18" s="24">
        <v>696</v>
      </c>
      <c r="J18" s="24">
        <v>153</v>
      </c>
      <c r="K18" s="24">
        <v>705</v>
      </c>
      <c r="L18" s="24">
        <v>80</v>
      </c>
    </row>
    <row r="19" spans="1:12" x14ac:dyDescent="0.3">
      <c r="A19" s="10">
        <v>9</v>
      </c>
      <c r="B19" s="14"/>
      <c r="C19" s="15"/>
      <c r="D19" s="16" t="s">
        <v>19</v>
      </c>
      <c r="E19" s="17">
        <v>158402</v>
      </c>
      <c r="F19" s="17">
        <v>135920</v>
      </c>
      <c r="G19" s="17">
        <v>251438</v>
      </c>
      <c r="H19" s="17">
        <v>237251</v>
      </c>
      <c r="I19" s="24">
        <v>170410</v>
      </c>
      <c r="J19" s="24">
        <v>50529</v>
      </c>
      <c r="K19" s="24">
        <v>159322</v>
      </c>
      <c r="L19" s="24">
        <v>33787</v>
      </c>
    </row>
    <row r="20" spans="1:12" x14ac:dyDescent="0.3">
      <c r="A20" s="10">
        <v>10</v>
      </c>
      <c r="B20" s="14"/>
      <c r="C20" s="15"/>
      <c r="D20" s="16" t="s">
        <v>20</v>
      </c>
      <c r="E20" s="17">
        <v>3204</v>
      </c>
      <c r="F20" s="17">
        <v>17088</v>
      </c>
      <c r="G20" s="17">
        <v>17064</v>
      </c>
      <c r="H20" s="17">
        <v>22642</v>
      </c>
      <c r="I20" s="24">
        <v>17449</v>
      </c>
      <c r="J20" s="24">
        <v>21</v>
      </c>
      <c r="K20" s="24">
        <v>12278</v>
      </c>
      <c r="L20" s="24">
        <v>48</v>
      </c>
    </row>
    <row r="21" spans="1:12" x14ac:dyDescent="0.3">
      <c r="A21" s="10">
        <v>11</v>
      </c>
      <c r="B21" s="14"/>
      <c r="C21" s="15"/>
      <c r="D21" s="16" t="s">
        <v>21</v>
      </c>
      <c r="E21" s="25">
        <v>74884</v>
      </c>
      <c r="F21" s="25">
        <v>74311</v>
      </c>
      <c r="G21" s="25">
        <v>78170</v>
      </c>
      <c r="H21" s="25">
        <v>223572</v>
      </c>
      <c r="I21" s="26">
        <v>58781</v>
      </c>
      <c r="J21" s="26">
        <v>7489</v>
      </c>
      <c r="K21" s="26">
        <v>67884</v>
      </c>
      <c r="L21" s="26">
        <v>1511</v>
      </c>
    </row>
    <row r="22" spans="1:12" x14ac:dyDescent="0.3">
      <c r="A22" s="10">
        <v>12</v>
      </c>
      <c r="B22" s="14"/>
      <c r="C22" s="15"/>
      <c r="D22" s="16" t="s">
        <v>22</v>
      </c>
      <c r="E22" s="25">
        <v>848</v>
      </c>
      <c r="F22" s="25">
        <v>2973</v>
      </c>
      <c r="G22" s="25">
        <v>2276</v>
      </c>
      <c r="H22" s="25">
        <v>440</v>
      </c>
      <c r="I22" s="26">
        <v>1835</v>
      </c>
      <c r="J22" s="26">
        <v>507</v>
      </c>
      <c r="K22" s="26">
        <v>0</v>
      </c>
      <c r="L22" s="26">
        <v>0</v>
      </c>
    </row>
    <row r="23" spans="1:12" x14ac:dyDescent="0.3">
      <c r="A23" s="10">
        <v>13</v>
      </c>
      <c r="B23" s="14"/>
      <c r="C23" s="15"/>
      <c r="D23" s="16" t="s">
        <v>23</v>
      </c>
      <c r="E23" s="25" t="s">
        <v>17</v>
      </c>
      <c r="F23" s="25" t="s">
        <v>17</v>
      </c>
      <c r="G23" s="27" t="s">
        <v>17</v>
      </c>
      <c r="H23" s="27" t="s">
        <v>17</v>
      </c>
      <c r="I23" s="28" t="s">
        <v>17</v>
      </c>
      <c r="J23" s="28" t="s">
        <v>17</v>
      </c>
      <c r="K23" s="28" t="s">
        <v>17</v>
      </c>
      <c r="L23" s="28" t="s">
        <v>17</v>
      </c>
    </row>
    <row r="24" spans="1:12" x14ac:dyDescent="0.3">
      <c r="A24" s="10">
        <v>14</v>
      </c>
      <c r="B24" s="14"/>
      <c r="C24" s="15"/>
      <c r="D24" s="16" t="s">
        <v>24</v>
      </c>
      <c r="E24" s="25" t="s">
        <v>17</v>
      </c>
      <c r="F24" s="25" t="s">
        <v>17</v>
      </c>
      <c r="G24" s="27" t="s">
        <v>17</v>
      </c>
      <c r="H24" s="27" t="s">
        <v>17</v>
      </c>
      <c r="I24" s="28">
        <v>862623</v>
      </c>
      <c r="J24" s="28">
        <v>22164</v>
      </c>
      <c r="K24" s="28">
        <v>490</v>
      </c>
      <c r="L24" s="28">
        <v>0</v>
      </c>
    </row>
    <row r="25" spans="1:12" x14ac:dyDescent="0.3">
      <c r="A25" s="10">
        <v>15</v>
      </c>
      <c r="B25" s="14"/>
      <c r="C25" s="15"/>
      <c r="D25" s="16" t="s">
        <v>25</v>
      </c>
      <c r="E25" s="25" t="s">
        <v>17</v>
      </c>
      <c r="F25" s="25" t="s">
        <v>17</v>
      </c>
      <c r="G25" s="27" t="s">
        <v>17</v>
      </c>
      <c r="H25" s="27" t="s">
        <v>17</v>
      </c>
      <c r="I25" s="28">
        <v>724693</v>
      </c>
      <c r="J25" s="28">
        <v>3910</v>
      </c>
      <c r="K25" s="28">
        <v>529060</v>
      </c>
      <c r="L25" s="28">
        <v>1205128</v>
      </c>
    </row>
    <row r="26" spans="1:12" x14ac:dyDescent="0.3">
      <c r="A26" s="10">
        <v>16</v>
      </c>
      <c r="B26" s="14"/>
      <c r="C26" s="15"/>
      <c r="D26" s="16" t="s">
        <v>26</v>
      </c>
      <c r="E26" s="25" t="s">
        <v>17</v>
      </c>
      <c r="F26" s="25" t="s">
        <v>17</v>
      </c>
      <c r="G26" s="27" t="s">
        <v>17</v>
      </c>
      <c r="H26" s="27" t="s">
        <v>17</v>
      </c>
      <c r="I26" s="29">
        <v>8200</v>
      </c>
      <c r="J26" s="29">
        <v>57151</v>
      </c>
      <c r="K26" s="29">
        <v>3582</v>
      </c>
      <c r="L26" s="29">
        <v>44760</v>
      </c>
    </row>
    <row r="27" spans="1:12" x14ac:dyDescent="0.3">
      <c r="A27" s="10"/>
      <c r="B27" s="30"/>
      <c r="C27" s="31" t="s">
        <v>27</v>
      </c>
      <c r="D27" s="31"/>
      <c r="E27" s="32">
        <f>SUM(E11:E23)</f>
        <v>542813</v>
      </c>
      <c r="F27" s="32">
        <f>SUM(F11:F23)</f>
        <v>455961</v>
      </c>
      <c r="G27" s="32">
        <f>SUM(G11:G23)</f>
        <v>440202</v>
      </c>
      <c r="H27" s="32">
        <f>SUM(H11:H23)</f>
        <v>570236</v>
      </c>
      <c r="I27" s="32">
        <f>SUM(I11:I26)</f>
        <v>1880410</v>
      </c>
      <c r="J27" s="32">
        <f>SUM(J11:J26)</f>
        <v>200855</v>
      </c>
      <c r="K27" s="32">
        <f>SUM(K11:K26)</f>
        <v>812169</v>
      </c>
      <c r="L27" s="32">
        <f>SUM(L11:L26)</f>
        <v>1354023</v>
      </c>
    </row>
    <row r="28" spans="1:12" x14ac:dyDescent="0.3">
      <c r="A28" s="20" t="s">
        <v>28</v>
      </c>
      <c r="B28" s="21"/>
      <c r="C28" s="2" t="s">
        <v>29</v>
      </c>
      <c r="D28" s="33"/>
      <c r="E28" s="34"/>
      <c r="F28" s="17"/>
      <c r="G28" s="17"/>
      <c r="H28" s="17"/>
      <c r="I28" s="17"/>
      <c r="J28" s="17"/>
      <c r="K28" s="17"/>
      <c r="L28" s="17"/>
    </row>
    <row r="29" spans="1:12" x14ac:dyDescent="0.3">
      <c r="A29" s="10">
        <v>1</v>
      </c>
      <c r="B29" s="14"/>
      <c r="C29" s="15"/>
      <c r="D29" s="16" t="s">
        <v>30</v>
      </c>
      <c r="E29" s="17">
        <v>84068</v>
      </c>
      <c r="F29" s="17">
        <v>82403</v>
      </c>
      <c r="G29" s="17">
        <v>139265</v>
      </c>
      <c r="H29" s="17">
        <v>145422</v>
      </c>
      <c r="I29" s="17">
        <v>89372</v>
      </c>
      <c r="J29" s="17">
        <v>50395</v>
      </c>
      <c r="K29" s="17">
        <v>79756</v>
      </c>
      <c r="L29" s="17">
        <v>63156</v>
      </c>
    </row>
    <row r="30" spans="1:12" x14ac:dyDescent="0.3">
      <c r="A30" s="10">
        <v>2</v>
      </c>
      <c r="B30" s="14"/>
      <c r="C30" s="15"/>
      <c r="D30" s="16" t="s">
        <v>31</v>
      </c>
      <c r="E30" s="17">
        <v>329691</v>
      </c>
      <c r="F30" s="17">
        <v>363507</v>
      </c>
      <c r="G30" s="17">
        <v>369963</v>
      </c>
      <c r="H30" s="17">
        <v>697468</v>
      </c>
      <c r="I30" s="17">
        <v>79044</v>
      </c>
      <c r="J30" s="17">
        <v>341758</v>
      </c>
      <c r="K30" s="17">
        <v>99715</v>
      </c>
      <c r="L30" s="17">
        <v>308777</v>
      </c>
    </row>
    <row r="31" spans="1:12" x14ac:dyDescent="0.3">
      <c r="A31" s="10">
        <v>3</v>
      </c>
      <c r="B31" s="14"/>
      <c r="C31" s="15"/>
      <c r="D31" s="16" t="s">
        <v>32</v>
      </c>
      <c r="E31" s="17">
        <v>1129306</v>
      </c>
      <c r="F31" s="17">
        <v>1774009</v>
      </c>
      <c r="G31" s="17">
        <v>1591674</v>
      </c>
      <c r="H31" s="17">
        <v>2236506</v>
      </c>
      <c r="I31" s="17">
        <v>559479</v>
      </c>
      <c r="J31" s="17">
        <v>1898985</v>
      </c>
      <c r="K31" s="17">
        <v>478874</v>
      </c>
      <c r="L31" s="17">
        <v>1790851</v>
      </c>
    </row>
    <row r="32" spans="1:12" x14ac:dyDescent="0.3">
      <c r="A32" s="10">
        <v>4</v>
      </c>
      <c r="B32" s="14"/>
      <c r="C32" s="15"/>
      <c r="D32" s="16" t="s">
        <v>33</v>
      </c>
      <c r="E32" s="17">
        <v>8889</v>
      </c>
      <c r="F32" s="17">
        <v>11680</v>
      </c>
      <c r="G32" s="17">
        <v>20504</v>
      </c>
      <c r="H32" s="17">
        <v>39174</v>
      </c>
      <c r="I32" s="17">
        <v>2343</v>
      </c>
      <c r="J32" s="17">
        <v>51289</v>
      </c>
      <c r="K32" s="17">
        <v>4420</v>
      </c>
      <c r="L32" s="17">
        <v>52619</v>
      </c>
    </row>
    <row r="33" spans="1:12" x14ac:dyDescent="0.3">
      <c r="A33" s="10">
        <v>5</v>
      </c>
      <c r="B33" s="14"/>
      <c r="C33" s="15"/>
      <c r="D33" s="16" t="s">
        <v>34</v>
      </c>
      <c r="E33" s="17"/>
      <c r="F33" s="17"/>
      <c r="G33" s="17">
        <v>906001</v>
      </c>
      <c r="H33" s="17">
        <v>1356321</v>
      </c>
      <c r="I33" s="17">
        <v>1045766</v>
      </c>
      <c r="J33" s="17">
        <v>240770</v>
      </c>
      <c r="K33" s="17">
        <v>822310</v>
      </c>
      <c r="L33" s="17">
        <v>218395</v>
      </c>
    </row>
    <row r="34" spans="1:12" x14ac:dyDescent="0.3">
      <c r="A34" s="10">
        <v>6</v>
      </c>
      <c r="B34" s="14"/>
      <c r="C34" s="15"/>
      <c r="D34" s="16" t="s">
        <v>35</v>
      </c>
      <c r="E34" s="17"/>
      <c r="F34" s="17"/>
      <c r="G34" s="17">
        <v>544460</v>
      </c>
      <c r="H34" s="17">
        <v>551050</v>
      </c>
      <c r="I34" s="17">
        <v>88704</v>
      </c>
      <c r="J34" s="17">
        <v>368744</v>
      </c>
      <c r="K34" s="17">
        <v>51483</v>
      </c>
      <c r="L34" s="17">
        <v>306696</v>
      </c>
    </row>
    <row r="35" spans="1:12" x14ac:dyDescent="0.3">
      <c r="A35" s="10"/>
      <c r="B35" s="30"/>
      <c r="C35" s="31" t="s">
        <v>27</v>
      </c>
      <c r="D35" s="35"/>
      <c r="E35" s="32">
        <f t="shared" ref="E35:G35" si="0">SUM(E29:E34)</f>
        <v>1551954</v>
      </c>
      <c r="F35" s="32">
        <f t="shared" si="0"/>
        <v>2231599</v>
      </c>
      <c r="G35" s="32">
        <f t="shared" si="0"/>
        <v>3571867</v>
      </c>
      <c r="H35" s="32">
        <f>SUM(H29:H34)</f>
        <v>5025941</v>
      </c>
      <c r="I35" s="32">
        <f t="shared" ref="I35:J35" si="1">SUM(I29:I34)</f>
        <v>1864708</v>
      </c>
      <c r="J35" s="32">
        <f t="shared" si="1"/>
        <v>2951941</v>
      </c>
      <c r="K35" s="32">
        <f t="shared" ref="K35:L35" si="2">SUM(K29:K34)</f>
        <v>1536558</v>
      </c>
      <c r="L35" s="32">
        <f t="shared" si="2"/>
        <v>2740494</v>
      </c>
    </row>
    <row r="36" spans="1:12" x14ac:dyDescent="0.3">
      <c r="A36" s="20" t="s">
        <v>36</v>
      </c>
      <c r="B36" s="21"/>
      <c r="C36" s="2" t="s">
        <v>37</v>
      </c>
      <c r="D36" s="33"/>
      <c r="E36" s="34"/>
      <c r="F36" s="17"/>
      <c r="G36" s="17"/>
      <c r="H36" s="17"/>
      <c r="I36" s="17"/>
      <c r="J36" s="17"/>
      <c r="K36" s="17"/>
      <c r="L36" s="17"/>
    </row>
    <row r="37" spans="1:12" x14ac:dyDescent="0.3">
      <c r="A37" s="10">
        <v>1</v>
      </c>
      <c r="B37" s="21"/>
      <c r="C37" s="2"/>
      <c r="D37" s="16" t="s">
        <v>38</v>
      </c>
      <c r="E37" s="17">
        <v>286418</v>
      </c>
      <c r="F37" s="17">
        <v>290148</v>
      </c>
      <c r="G37" s="17">
        <v>315078</v>
      </c>
      <c r="H37" s="17">
        <v>370222</v>
      </c>
      <c r="I37" s="17">
        <v>23235</v>
      </c>
      <c r="J37" s="17">
        <v>367848</v>
      </c>
      <c r="K37" s="17">
        <v>28041</v>
      </c>
      <c r="L37" s="17">
        <v>322513</v>
      </c>
    </row>
    <row r="38" spans="1:12" x14ac:dyDescent="0.3">
      <c r="A38" s="10">
        <v>2</v>
      </c>
      <c r="B38" s="21"/>
      <c r="C38" s="2"/>
      <c r="D38" s="16" t="s">
        <v>39</v>
      </c>
      <c r="E38" s="17">
        <v>140326</v>
      </c>
      <c r="F38" s="17">
        <v>157760</v>
      </c>
      <c r="G38" s="17">
        <v>182593</v>
      </c>
      <c r="H38" s="17">
        <v>229337</v>
      </c>
      <c r="I38" s="17">
        <v>3450</v>
      </c>
      <c r="J38" s="17">
        <v>211768</v>
      </c>
      <c r="K38" s="27">
        <v>11397</v>
      </c>
      <c r="L38" s="27">
        <v>171471</v>
      </c>
    </row>
    <row r="39" spans="1:12" x14ac:dyDescent="0.3">
      <c r="A39" s="10">
        <v>3</v>
      </c>
      <c r="B39" s="21"/>
      <c r="C39" s="2"/>
      <c r="D39" s="16" t="s">
        <v>40</v>
      </c>
      <c r="E39" s="17">
        <v>31661</v>
      </c>
      <c r="F39" s="17">
        <v>30448</v>
      </c>
      <c r="G39" s="17">
        <v>34523</v>
      </c>
      <c r="H39" s="17">
        <v>37487</v>
      </c>
      <c r="I39" s="17">
        <v>951</v>
      </c>
      <c r="J39" s="17">
        <v>48819</v>
      </c>
      <c r="K39" s="17">
        <v>2051</v>
      </c>
      <c r="L39" s="17">
        <v>58188</v>
      </c>
    </row>
    <row r="40" spans="1:12" x14ac:dyDescent="0.3">
      <c r="A40" s="10">
        <v>4</v>
      </c>
      <c r="B40" s="21"/>
      <c r="C40" s="2"/>
      <c r="D40" s="16" t="s">
        <v>41</v>
      </c>
      <c r="E40" s="17">
        <v>443883</v>
      </c>
      <c r="F40" s="17">
        <v>450120</v>
      </c>
      <c r="G40" s="17">
        <v>524647</v>
      </c>
      <c r="H40" s="17">
        <v>642669</v>
      </c>
      <c r="I40" s="17">
        <v>135826</v>
      </c>
      <c r="J40" s="17">
        <v>631592</v>
      </c>
      <c r="K40" s="17">
        <v>138077</v>
      </c>
      <c r="L40" s="17">
        <v>887851</v>
      </c>
    </row>
    <row r="41" spans="1:12" x14ac:dyDescent="0.3">
      <c r="A41" s="10">
        <v>5</v>
      </c>
      <c r="B41" s="21"/>
      <c r="C41" s="2"/>
      <c r="D41" s="16" t="s">
        <v>42</v>
      </c>
      <c r="E41" s="25" t="s">
        <v>17</v>
      </c>
      <c r="F41" s="25" t="s">
        <v>17</v>
      </c>
      <c r="G41" s="27">
        <v>665303</v>
      </c>
      <c r="H41" s="27">
        <v>1343152</v>
      </c>
      <c r="I41" s="27">
        <v>79268</v>
      </c>
      <c r="J41" s="27">
        <v>1395627</v>
      </c>
      <c r="K41" s="27">
        <v>7092</v>
      </c>
      <c r="L41" s="27">
        <v>1548573</v>
      </c>
    </row>
    <row r="42" spans="1:12" x14ac:dyDescent="0.3">
      <c r="A42" s="10">
        <v>6</v>
      </c>
      <c r="B42" s="21"/>
      <c r="C42" s="2"/>
      <c r="D42" s="16" t="s">
        <v>43</v>
      </c>
      <c r="E42" s="17">
        <v>7780</v>
      </c>
      <c r="F42" s="25">
        <v>8158</v>
      </c>
      <c r="G42" s="17">
        <v>8015</v>
      </c>
      <c r="H42" s="17">
        <v>8511</v>
      </c>
      <c r="I42" s="17">
        <v>51</v>
      </c>
      <c r="J42" s="17">
        <v>7449</v>
      </c>
      <c r="K42" s="17">
        <v>179</v>
      </c>
      <c r="L42" s="17">
        <v>5996</v>
      </c>
    </row>
    <row r="43" spans="1:12" x14ac:dyDescent="0.3">
      <c r="A43" s="10">
        <v>7</v>
      </c>
      <c r="B43" s="21"/>
      <c r="C43" s="2"/>
      <c r="D43" s="16" t="s">
        <v>44</v>
      </c>
      <c r="E43" s="17">
        <v>163032</v>
      </c>
      <c r="F43" s="17">
        <v>111305</v>
      </c>
      <c r="G43" s="17">
        <v>125465</v>
      </c>
      <c r="H43" s="17">
        <v>118350</v>
      </c>
      <c r="I43" s="17">
        <v>50863</v>
      </c>
      <c r="J43" s="17">
        <v>76869</v>
      </c>
      <c r="K43" s="17">
        <v>61208</v>
      </c>
      <c r="L43" s="17">
        <v>87509</v>
      </c>
    </row>
    <row r="44" spans="1:12" x14ac:dyDescent="0.3">
      <c r="A44" s="10">
        <v>8</v>
      </c>
      <c r="B44" s="21"/>
      <c r="C44" s="2"/>
      <c r="D44" s="16" t="s">
        <v>45</v>
      </c>
      <c r="E44" s="17">
        <v>631</v>
      </c>
      <c r="F44" s="25">
        <v>251</v>
      </c>
      <c r="G44" s="17">
        <v>465</v>
      </c>
      <c r="H44" s="17">
        <v>333</v>
      </c>
      <c r="I44" s="27" t="s">
        <v>17</v>
      </c>
      <c r="J44" s="17">
        <v>216</v>
      </c>
      <c r="K44" s="27" t="s">
        <v>17</v>
      </c>
      <c r="L44" s="27" t="s">
        <v>17</v>
      </c>
    </row>
    <row r="45" spans="1:12" x14ac:dyDescent="0.3">
      <c r="A45" s="10">
        <v>9</v>
      </c>
      <c r="B45" s="21"/>
      <c r="C45" s="2"/>
      <c r="D45" s="16" t="s">
        <v>46</v>
      </c>
      <c r="E45" s="17">
        <v>78141</v>
      </c>
      <c r="F45" s="25">
        <v>76411</v>
      </c>
      <c r="G45" s="17">
        <v>74122</v>
      </c>
      <c r="H45" s="17">
        <v>57050</v>
      </c>
      <c r="I45" s="27" t="s">
        <v>17</v>
      </c>
      <c r="J45" s="17">
        <v>66831</v>
      </c>
      <c r="K45" s="27" t="s">
        <v>17</v>
      </c>
      <c r="L45" s="17">
        <v>84916</v>
      </c>
    </row>
    <row r="46" spans="1:12" x14ac:dyDescent="0.3">
      <c r="A46" s="10">
        <v>10</v>
      </c>
      <c r="B46" s="21"/>
      <c r="C46" s="2"/>
      <c r="D46" s="16" t="s">
        <v>47</v>
      </c>
      <c r="E46" s="25">
        <v>15622</v>
      </c>
      <c r="F46" s="25">
        <v>9058</v>
      </c>
      <c r="G46" s="25">
        <v>4883</v>
      </c>
      <c r="H46" s="25">
        <v>3688</v>
      </c>
      <c r="I46" s="25">
        <v>4475</v>
      </c>
      <c r="J46" s="25">
        <v>748</v>
      </c>
      <c r="K46" s="25">
        <v>5800</v>
      </c>
      <c r="L46" s="25">
        <v>609</v>
      </c>
    </row>
    <row r="47" spans="1:12" x14ac:dyDescent="0.3">
      <c r="A47" s="10">
        <v>11</v>
      </c>
      <c r="B47" s="21"/>
      <c r="C47" s="2"/>
      <c r="D47" s="16" t="s">
        <v>48</v>
      </c>
      <c r="E47" s="17">
        <v>33632</v>
      </c>
      <c r="F47" s="17">
        <v>21591</v>
      </c>
      <c r="G47" s="17">
        <v>17113</v>
      </c>
      <c r="H47" s="17">
        <v>13384</v>
      </c>
      <c r="I47" s="17">
        <v>1128</v>
      </c>
      <c r="J47" s="17">
        <v>8466</v>
      </c>
      <c r="K47" s="17">
        <v>747</v>
      </c>
      <c r="L47" s="17">
        <v>6883</v>
      </c>
    </row>
    <row r="48" spans="1:12" x14ac:dyDescent="0.3">
      <c r="A48" s="10">
        <v>12</v>
      </c>
      <c r="B48" s="21"/>
      <c r="C48" s="2"/>
      <c r="D48" s="16" t="s">
        <v>49</v>
      </c>
      <c r="E48" s="17">
        <v>4686</v>
      </c>
      <c r="F48" s="17">
        <v>2393</v>
      </c>
      <c r="G48" s="17">
        <v>3166</v>
      </c>
      <c r="H48" s="17">
        <v>3684</v>
      </c>
      <c r="I48" s="17">
        <v>1796</v>
      </c>
      <c r="J48" s="17">
        <v>1420</v>
      </c>
      <c r="K48" s="17">
        <v>1320</v>
      </c>
      <c r="L48" s="17">
        <v>1285</v>
      </c>
    </row>
    <row r="49" spans="1:14" x14ac:dyDescent="0.3">
      <c r="A49" s="10">
        <v>13</v>
      </c>
      <c r="B49" s="21"/>
      <c r="C49" s="2"/>
      <c r="D49" s="16" t="s">
        <v>50</v>
      </c>
      <c r="E49" s="17">
        <v>29316</v>
      </c>
      <c r="F49" s="17">
        <v>27913</v>
      </c>
      <c r="G49" s="17">
        <v>26549</v>
      </c>
      <c r="H49" s="17">
        <v>28323</v>
      </c>
      <c r="I49" s="17">
        <v>915</v>
      </c>
      <c r="J49" s="17">
        <v>23109</v>
      </c>
      <c r="K49" s="17">
        <v>621</v>
      </c>
      <c r="L49" s="17">
        <v>20817</v>
      </c>
    </row>
    <row r="50" spans="1:14" x14ac:dyDescent="0.3">
      <c r="A50" s="10">
        <v>14</v>
      </c>
      <c r="B50" s="21"/>
      <c r="C50" s="2"/>
      <c r="D50" s="16" t="s">
        <v>51</v>
      </c>
      <c r="E50" s="17">
        <v>205542</v>
      </c>
      <c r="F50" s="17">
        <v>209583</v>
      </c>
      <c r="G50" s="17">
        <v>256463</v>
      </c>
      <c r="H50" s="17">
        <v>341310</v>
      </c>
      <c r="I50" s="17">
        <v>221509</v>
      </c>
      <c r="J50" s="17">
        <v>167804</v>
      </c>
      <c r="K50" s="17">
        <v>202246</v>
      </c>
      <c r="L50" s="17">
        <v>196069</v>
      </c>
    </row>
    <row r="51" spans="1:14" x14ac:dyDescent="0.3">
      <c r="A51" s="10">
        <v>15</v>
      </c>
      <c r="B51" s="21"/>
      <c r="C51" s="2"/>
      <c r="D51" s="16" t="s">
        <v>52</v>
      </c>
      <c r="E51" s="17">
        <v>6800</v>
      </c>
      <c r="F51" s="17">
        <v>11219</v>
      </c>
      <c r="G51" s="17">
        <v>16416</v>
      </c>
      <c r="H51" s="17">
        <v>25202</v>
      </c>
      <c r="I51" s="17">
        <v>3392</v>
      </c>
      <c r="J51" s="17">
        <v>9272</v>
      </c>
      <c r="K51" s="17">
        <v>10018</v>
      </c>
      <c r="L51" s="17">
        <v>4559</v>
      </c>
    </row>
    <row r="52" spans="1:14" x14ac:dyDescent="0.3">
      <c r="A52" s="10">
        <v>16</v>
      </c>
      <c r="B52" s="21"/>
      <c r="C52" s="2"/>
      <c r="D52" s="16" t="s">
        <v>53</v>
      </c>
      <c r="E52" s="17">
        <v>300479</v>
      </c>
      <c r="F52" s="17">
        <v>293728</v>
      </c>
      <c r="G52" s="17">
        <v>308894</v>
      </c>
      <c r="H52" s="17">
        <v>391037</v>
      </c>
      <c r="I52" s="17">
        <v>216886</v>
      </c>
      <c r="J52" s="17">
        <v>233629</v>
      </c>
      <c r="K52" s="17">
        <v>175531</v>
      </c>
      <c r="L52" s="17">
        <v>221679</v>
      </c>
    </row>
    <row r="53" spans="1:14" x14ac:dyDescent="0.3">
      <c r="A53" s="10">
        <v>17</v>
      </c>
      <c r="B53" s="21"/>
      <c r="C53" s="2"/>
      <c r="D53" s="16" t="s">
        <v>54</v>
      </c>
      <c r="E53" s="25" t="s">
        <v>17</v>
      </c>
      <c r="F53" s="25" t="s">
        <v>17</v>
      </c>
      <c r="G53" s="25" t="s">
        <v>17</v>
      </c>
      <c r="H53" s="27" t="s">
        <v>17</v>
      </c>
      <c r="I53" s="25" t="s">
        <v>17</v>
      </c>
      <c r="J53" s="27" t="s">
        <v>17</v>
      </c>
      <c r="K53" s="27" t="s">
        <v>17</v>
      </c>
      <c r="L53" s="27" t="s">
        <v>17</v>
      </c>
    </row>
    <row r="54" spans="1:14" x14ac:dyDescent="0.3">
      <c r="A54" s="10">
        <v>18</v>
      </c>
      <c r="B54" s="21"/>
      <c r="C54" s="2"/>
      <c r="D54" s="16" t="s">
        <v>55</v>
      </c>
      <c r="E54" s="17">
        <v>43695</v>
      </c>
      <c r="F54" s="17">
        <v>42468</v>
      </c>
      <c r="G54" s="17">
        <v>43710</v>
      </c>
      <c r="H54" s="17">
        <v>36956</v>
      </c>
      <c r="I54" s="17">
        <v>12864</v>
      </c>
      <c r="J54" s="17">
        <v>19580</v>
      </c>
      <c r="K54" s="17">
        <v>8046</v>
      </c>
      <c r="L54" s="17">
        <v>16043</v>
      </c>
    </row>
    <row r="55" spans="1:14" x14ac:dyDescent="0.3">
      <c r="A55" s="10">
        <v>19</v>
      </c>
      <c r="B55" s="21"/>
      <c r="C55" s="2"/>
      <c r="D55" s="16" t="s">
        <v>56</v>
      </c>
      <c r="E55" s="25">
        <v>35516</v>
      </c>
      <c r="F55" s="25">
        <v>38263</v>
      </c>
      <c r="G55" s="25">
        <v>39145</v>
      </c>
      <c r="H55" s="25">
        <v>30621</v>
      </c>
      <c r="I55" s="25" t="s">
        <v>17</v>
      </c>
      <c r="J55" s="25">
        <v>22743</v>
      </c>
      <c r="K55" s="27" t="s">
        <v>17</v>
      </c>
      <c r="L55" s="25">
        <v>27929</v>
      </c>
    </row>
    <row r="56" spans="1:14" x14ac:dyDescent="0.3">
      <c r="A56" s="10">
        <v>20</v>
      </c>
      <c r="B56" s="21"/>
      <c r="C56" s="2"/>
      <c r="D56" s="16" t="s">
        <v>57</v>
      </c>
      <c r="E56" s="25">
        <v>44645</v>
      </c>
      <c r="F56" s="25">
        <v>46627</v>
      </c>
      <c r="G56" s="25">
        <v>56768</v>
      </c>
      <c r="H56" s="25">
        <v>42661</v>
      </c>
      <c r="I56" s="25">
        <v>1592</v>
      </c>
      <c r="J56" s="25">
        <v>40314</v>
      </c>
      <c r="K56" s="25">
        <v>1893</v>
      </c>
      <c r="L56" s="25">
        <v>31853</v>
      </c>
    </row>
    <row r="57" spans="1:14" x14ac:dyDescent="0.3">
      <c r="A57" s="10">
        <v>21</v>
      </c>
      <c r="B57" s="21"/>
      <c r="C57" s="2"/>
      <c r="D57" s="16" t="s">
        <v>58</v>
      </c>
      <c r="E57" s="17">
        <v>50014</v>
      </c>
      <c r="F57" s="27">
        <v>90247</v>
      </c>
      <c r="G57" s="17">
        <v>38013</v>
      </c>
      <c r="H57" s="17">
        <v>37631</v>
      </c>
      <c r="I57" s="17">
        <v>21472</v>
      </c>
      <c r="J57" s="17">
        <v>8856</v>
      </c>
      <c r="K57" s="17">
        <v>8690</v>
      </c>
      <c r="L57" s="17">
        <v>4073</v>
      </c>
    </row>
    <row r="58" spans="1:14" x14ac:dyDescent="0.3">
      <c r="A58" s="10">
        <v>22</v>
      </c>
      <c r="B58" s="21"/>
      <c r="C58" s="2"/>
      <c r="D58" s="16" t="s">
        <v>59</v>
      </c>
      <c r="E58" s="27" t="s">
        <v>17</v>
      </c>
      <c r="F58" s="27" t="s">
        <v>17</v>
      </c>
      <c r="G58" s="25">
        <v>207275</v>
      </c>
      <c r="H58" s="25">
        <v>80600</v>
      </c>
      <c r="I58" s="25">
        <v>15291</v>
      </c>
      <c r="J58" s="25">
        <v>413016</v>
      </c>
      <c r="K58" s="25">
        <v>19535</v>
      </c>
      <c r="L58" s="25">
        <v>477142</v>
      </c>
    </row>
    <row r="59" spans="1:14" x14ac:dyDescent="0.3">
      <c r="A59" s="10">
        <v>23</v>
      </c>
      <c r="B59" s="21"/>
      <c r="C59" s="2"/>
      <c r="D59" s="16" t="s">
        <v>60</v>
      </c>
      <c r="E59" s="27" t="s">
        <v>17</v>
      </c>
      <c r="F59" s="27" t="s">
        <v>17</v>
      </c>
      <c r="G59" s="17">
        <v>4975</v>
      </c>
      <c r="H59" s="27" t="s">
        <v>17</v>
      </c>
      <c r="I59" s="27" t="s">
        <v>17</v>
      </c>
      <c r="J59" s="27" t="s">
        <v>17</v>
      </c>
      <c r="K59" s="27">
        <v>34529</v>
      </c>
      <c r="L59" s="27">
        <v>144480</v>
      </c>
    </row>
    <row r="60" spans="1:14" x14ac:dyDescent="0.3">
      <c r="A60" s="10"/>
      <c r="B60" s="37"/>
      <c r="C60" s="31" t="s">
        <v>27</v>
      </c>
      <c r="D60" s="35"/>
      <c r="E60" s="32">
        <f t="shared" ref="E60:G60" si="3">SUM(E37:E59)</f>
        <v>1921819</v>
      </c>
      <c r="F60" s="32">
        <f t="shared" si="3"/>
        <v>1917691</v>
      </c>
      <c r="G60" s="32">
        <f t="shared" si="3"/>
        <v>2953581</v>
      </c>
      <c r="H60" s="32">
        <f>SUM(H37:H59)</f>
        <v>3842208</v>
      </c>
      <c r="I60" s="32">
        <f t="shared" ref="I60:J60" si="4">SUM(I37:I59)</f>
        <v>794964</v>
      </c>
      <c r="J60" s="32">
        <f t="shared" si="4"/>
        <v>3755976</v>
      </c>
      <c r="K60" s="32">
        <f t="shared" ref="K60" si="5">SUM(K37:K59)</f>
        <v>717021</v>
      </c>
      <c r="L60" s="32">
        <f>SUM(L37:L59)</f>
        <v>4320438</v>
      </c>
      <c r="M60" s="69"/>
      <c r="N60" s="69"/>
    </row>
    <row r="61" spans="1:14" x14ac:dyDescent="0.3">
      <c r="A61" s="20" t="s">
        <v>61</v>
      </c>
      <c r="B61" s="21"/>
      <c r="C61" s="2" t="s">
        <v>62</v>
      </c>
      <c r="D61" s="16"/>
      <c r="E61" s="34"/>
      <c r="F61" s="17"/>
      <c r="G61" s="17"/>
      <c r="H61" s="17"/>
      <c r="I61" s="17"/>
      <c r="J61" s="17"/>
      <c r="K61" s="17"/>
      <c r="L61" s="17"/>
    </row>
    <row r="62" spans="1:14" x14ac:dyDescent="0.3">
      <c r="A62" s="10">
        <v>1</v>
      </c>
      <c r="B62" s="14"/>
      <c r="C62" s="15"/>
      <c r="D62" s="16" t="s">
        <v>63</v>
      </c>
      <c r="E62" s="17">
        <v>1026</v>
      </c>
      <c r="F62" s="17">
        <v>1050</v>
      </c>
      <c r="G62" s="17">
        <v>1388</v>
      </c>
      <c r="H62" s="17">
        <v>1012</v>
      </c>
      <c r="I62" s="17">
        <v>46</v>
      </c>
      <c r="J62" s="17">
        <v>905</v>
      </c>
      <c r="K62" s="17">
        <v>97</v>
      </c>
      <c r="L62" s="17">
        <v>949</v>
      </c>
    </row>
    <row r="63" spans="1:14" x14ac:dyDescent="0.3">
      <c r="A63" s="10">
        <v>2</v>
      </c>
      <c r="B63" s="14"/>
      <c r="C63" s="15"/>
      <c r="D63" s="16" t="s">
        <v>64</v>
      </c>
      <c r="E63" s="17">
        <v>16563</v>
      </c>
      <c r="F63" s="25">
        <v>18395</v>
      </c>
      <c r="G63" s="17">
        <v>18561</v>
      </c>
      <c r="H63" s="17">
        <v>25953</v>
      </c>
      <c r="I63" s="27" t="s">
        <v>17</v>
      </c>
      <c r="J63" s="17">
        <v>24760</v>
      </c>
      <c r="K63" s="27">
        <v>278</v>
      </c>
      <c r="L63" s="17">
        <v>19124</v>
      </c>
    </row>
    <row r="64" spans="1:14" x14ac:dyDescent="0.3">
      <c r="A64" s="10">
        <v>3</v>
      </c>
      <c r="B64" s="14"/>
      <c r="C64" s="15"/>
      <c r="D64" s="16" t="s">
        <v>65</v>
      </c>
      <c r="E64" s="17">
        <v>500324</v>
      </c>
      <c r="F64" s="17">
        <v>473010</v>
      </c>
      <c r="G64" s="17">
        <v>491661</v>
      </c>
      <c r="H64" s="17">
        <v>542724</v>
      </c>
      <c r="I64" s="17">
        <v>100777</v>
      </c>
      <c r="J64" s="17">
        <v>319523</v>
      </c>
      <c r="K64" s="17">
        <v>160719</v>
      </c>
      <c r="L64" s="17">
        <v>780691</v>
      </c>
    </row>
    <row r="65" spans="1:14" x14ac:dyDescent="0.3">
      <c r="A65" s="10">
        <v>4</v>
      </c>
      <c r="B65" s="14"/>
      <c r="C65" s="15"/>
      <c r="D65" s="16" t="s">
        <v>66</v>
      </c>
      <c r="E65" s="17">
        <v>15184</v>
      </c>
      <c r="F65" s="17">
        <v>12081</v>
      </c>
      <c r="G65" s="17">
        <v>12989</v>
      </c>
      <c r="H65" s="17">
        <v>11866</v>
      </c>
      <c r="I65" s="17">
        <v>7441</v>
      </c>
      <c r="J65" s="17">
        <v>1922</v>
      </c>
      <c r="K65" s="17">
        <v>6049</v>
      </c>
      <c r="L65" s="17">
        <v>1505</v>
      </c>
    </row>
    <row r="66" spans="1:14" x14ac:dyDescent="0.3">
      <c r="A66" s="10">
        <v>5</v>
      </c>
      <c r="B66" s="14"/>
      <c r="C66" s="15"/>
      <c r="D66" s="16" t="s">
        <v>67</v>
      </c>
      <c r="E66" s="17">
        <v>64692</v>
      </c>
      <c r="F66" s="17">
        <v>49951</v>
      </c>
      <c r="G66" s="17">
        <v>123133</v>
      </c>
      <c r="H66" s="17">
        <v>209267</v>
      </c>
      <c r="I66" s="17">
        <v>196071</v>
      </c>
      <c r="J66" s="17">
        <v>51565</v>
      </c>
      <c r="K66" s="17">
        <v>202247</v>
      </c>
      <c r="L66" s="17">
        <v>58914</v>
      </c>
    </row>
    <row r="67" spans="1:14" x14ac:dyDescent="0.3">
      <c r="A67" s="10">
        <v>6</v>
      </c>
      <c r="B67" s="14"/>
      <c r="C67" s="15"/>
      <c r="D67" s="16" t="s">
        <v>68</v>
      </c>
      <c r="E67" s="17">
        <v>49818</v>
      </c>
      <c r="F67" s="25">
        <v>55862</v>
      </c>
      <c r="G67" s="17">
        <v>46851</v>
      </c>
      <c r="H67" s="27" t="s">
        <v>17</v>
      </c>
      <c r="I67" s="27" t="s">
        <v>17</v>
      </c>
      <c r="J67" s="27" t="s">
        <v>17</v>
      </c>
      <c r="K67" s="27" t="s">
        <v>17</v>
      </c>
      <c r="L67" s="27" t="s">
        <v>17</v>
      </c>
    </row>
    <row r="68" spans="1:14" x14ac:dyDescent="0.3">
      <c r="A68" s="10"/>
      <c r="B68" s="30"/>
      <c r="C68" s="31" t="s">
        <v>27</v>
      </c>
      <c r="D68" s="35"/>
      <c r="E68" s="32">
        <f t="shared" ref="E68:H68" si="6">SUM(E62:E67)</f>
        <v>647607</v>
      </c>
      <c r="F68" s="32">
        <f t="shared" si="6"/>
        <v>610349</v>
      </c>
      <c r="G68" s="32">
        <f t="shared" si="6"/>
        <v>694583</v>
      </c>
      <c r="H68" s="32">
        <f t="shared" si="6"/>
        <v>790822</v>
      </c>
      <c r="I68" s="32">
        <f t="shared" ref="I68:J68" si="7">SUM(I62:I67)</f>
        <v>304335</v>
      </c>
      <c r="J68" s="32">
        <f t="shared" si="7"/>
        <v>398675</v>
      </c>
      <c r="K68" s="32">
        <f t="shared" ref="K68:L68" si="8">SUM(K62:K67)</f>
        <v>369390</v>
      </c>
      <c r="L68" s="32">
        <f t="shared" si="8"/>
        <v>861183</v>
      </c>
    </row>
    <row r="69" spans="1:14" x14ac:dyDescent="0.3">
      <c r="A69" s="20" t="s">
        <v>69</v>
      </c>
      <c r="B69" s="21"/>
      <c r="C69" s="2" t="s">
        <v>70</v>
      </c>
      <c r="D69" s="33"/>
      <c r="E69" s="34"/>
      <c r="F69" s="17"/>
      <c r="G69" s="17"/>
      <c r="H69" s="17"/>
      <c r="I69" s="17"/>
      <c r="J69" s="17"/>
      <c r="K69" s="17"/>
      <c r="L69" s="17"/>
    </row>
    <row r="70" spans="1:14" x14ac:dyDescent="0.3">
      <c r="A70" s="10">
        <v>1</v>
      </c>
      <c r="B70" s="14"/>
      <c r="C70" s="15"/>
      <c r="D70" s="16" t="s">
        <v>71</v>
      </c>
      <c r="E70" s="17">
        <v>45795</v>
      </c>
      <c r="F70" s="17">
        <v>43683</v>
      </c>
      <c r="G70" s="17">
        <v>42430</v>
      </c>
      <c r="H70" s="17">
        <v>53322</v>
      </c>
      <c r="I70" s="17">
        <f>4288+980</f>
        <v>5268</v>
      </c>
      <c r="J70" s="17">
        <f>41103+1002</f>
        <v>42105</v>
      </c>
      <c r="K70" s="17">
        <f>4042+1040</f>
        <v>5082</v>
      </c>
      <c r="L70" s="17">
        <f>30966+707</f>
        <v>31673</v>
      </c>
      <c r="M70" s="38"/>
      <c r="N70" s="38"/>
    </row>
    <row r="71" spans="1:14" x14ac:dyDescent="0.3">
      <c r="A71" s="10">
        <v>2</v>
      </c>
      <c r="B71" s="14"/>
      <c r="C71" s="15"/>
      <c r="D71" s="16" t="s">
        <v>72</v>
      </c>
      <c r="E71" s="17">
        <v>58918</v>
      </c>
      <c r="F71" s="17">
        <v>57552</v>
      </c>
      <c r="G71" s="17">
        <v>63226</v>
      </c>
      <c r="H71" s="17">
        <v>72472</v>
      </c>
      <c r="I71" s="17">
        <f>3345+321</f>
        <v>3666</v>
      </c>
      <c r="J71" s="17">
        <f>62865+1584</f>
        <v>64449</v>
      </c>
      <c r="K71" s="17">
        <f>2801+257</f>
        <v>3058</v>
      </c>
      <c r="L71" s="17">
        <f>56292+1167</f>
        <v>57459</v>
      </c>
      <c r="M71" s="38"/>
    </row>
    <row r="72" spans="1:14" x14ac:dyDescent="0.3">
      <c r="A72" s="10">
        <v>3</v>
      </c>
      <c r="B72" s="14"/>
      <c r="C72" s="15"/>
      <c r="D72" s="16" t="s">
        <v>73</v>
      </c>
      <c r="E72" s="25" t="s">
        <v>17</v>
      </c>
      <c r="F72" s="25" t="s">
        <v>17</v>
      </c>
      <c r="G72" s="27" t="s">
        <v>17</v>
      </c>
      <c r="H72" s="27">
        <v>15000</v>
      </c>
      <c r="I72" s="27" t="s">
        <v>17</v>
      </c>
      <c r="J72" s="27" t="s">
        <v>17</v>
      </c>
      <c r="K72" s="27" t="s">
        <v>17</v>
      </c>
      <c r="L72" s="27" t="s">
        <v>17</v>
      </c>
    </row>
    <row r="73" spans="1:14" x14ac:dyDescent="0.3">
      <c r="A73" s="10">
        <v>4</v>
      </c>
      <c r="B73" s="14"/>
      <c r="C73" s="15"/>
      <c r="D73" s="16" t="s">
        <v>74</v>
      </c>
      <c r="E73" s="17">
        <v>220751</v>
      </c>
      <c r="F73" s="17">
        <v>264708</v>
      </c>
      <c r="G73" s="17">
        <v>265545</v>
      </c>
      <c r="H73" s="17">
        <v>292734</v>
      </c>
      <c r="I73" s="27" t="s">
        <v>17</v>
      </c>
      <c r="J73" s="17">
        <f>123426+10422</f>
        <v>133848</v>
      </c>
      <c r="K73" s="27" t="s">
        <v>17</v>
      </c>
      <c r="L73" s="17">
        <f>386681+17802</f>
        <v>404483</v>
      </c>
    </row>
    <row r="74" spans="1:14" x14ac:dyDescent="0.3">
      <c r="A74" s="10">
        <v>5</v>
      </c>
      <c r="B74" s="14"/>
      <c r="C74" s="15"/>
      <c r="D74" s="16" t="s">
        <v>75</v>
      </c>
      <c r="E74" s="25" t="s">
        <v>17</v>
      </c>
      <c r="F74" s="25" t="s">
        <v>17</v>
      </c>
      <c r="G74" s="25" t="s">
        <v>17</v>
      </c>
      <c r="H74" s="25">
        <v>7550</v>
      </c>
      <c r="I74" s="27" t="s">
        <v>17</v>
      </c>
      <c r="J74" s="27" t="s">
        <v>17</v>
      </c>
      <c r="K74" s="27" t="s">
        <v>17</v>
      </c>
      <c r="L74" s="27" t="s">
        <v>17</v>
      </c>
    </row>
    <row r="75" spans="1:14" x14ac:dyDescent="0.3">
      <c r="A75" s="10">
        <v>6</v>
      </c>
      <c r="B75" s="14"/>
      <c r="C75" s="15"/>
      <c r="D75" s="16" t="s">
        <v>76</v>
      </c>
      <c r="E75" s="17">
        <v>2849</v>
      </c>
      <c r="F75" s="17">
        <v>6108</v>
      </c>
      <c r="G75" s="17">
        <v>7693</v>
      </c>
      <c r="H75" s="17">
        <v>5098</v>
      </c>
      <c r="I75" s="17">
        <f>97+25</f>
        <v>122</v>
      </c>
      <c r="J75" s="17">
        <f>3446+331</f>
        <v>3777</v>
      </c>
      <c r="K75" s="17">
        <v>80</v>
      </c>
      <c r="L75" s="17">
        <f>1355+157</f>
        <v>1512</v>
      </c>
      <c r="M75" s="38"/>
    </row>
    <row r="76" spans="1:14" x14ac:dyDescent="0.3">
      <c r="A76" s="10">
        <v>7</v>
      </c>
      <c r="B76" s="14"/>
      <c r="C76" s="15"/>
      <c r="D76" s="16" t="s">
        <v>77</v>
      </c>
      <c r="E76" s="25" t="s">
        <v>17</v>
      </c>
      <c r="F76" s="25" t="s">
        <v>17</v>
      </c>
      <c r="G76" s="25" t="s">
        <v>17</v>
      </c>
      <c r="H76" s="17">
        <v>50000</v>
      </c>
      <c r="I76" s="27" t="s">
        <v>17</v>
      </c>
      <c r="J76" s="27" t="s">
        <v>17</v>
      </c>
      <c r="K76" s="27" t="s">
        <v>17</v>
      </c>
      <c r="L76" s="27" t="s">
        <v>17</v>
      </c>
    </row>
    <row r="77" spans="1:14" x14ac:dyDescent="0.3">
      <c r="A77" s="10"/>
      <c r="B77" s="30"/>
      <c r="C77" s="31" t="s">
        <v>27</v>
      </c>
      <c r="D77" s="35"/>
      <c r="E77" s="32">
        <f t="shared" ref="E77:H77" si="9">SUM(E70:E76)</f>
        <v>328313</v>
      </c>
      <c r="F77" s="32">
        <f t="shared" si="9"/>
        <v>372051</v>
      </c>
      <c r="G77" s="32">
        <f t="shared" si="9"/>
        <v>378894</v>
      </c>
      <c r="H77" s="32">
        <f t="shared" si="9"/>
        <v>496176</v>
      </c>
      <c r="I77" s="32">
        <f t="shared" ref="I77:J77" si="10">SUM(I70:I76)</f>
        <v>9056</v>
      </c>
      <c r="J77" s="32">
        <f t="shared" si="10"/>
        <v>244179</v>
      </c>
      <c r="K77" s="32">
        <f t="shared" ref="K77:L77" si="11">SUM(K70:K76)</f>
        <v>8220</v>
      </c>
      <c r="L77" s="32">
        <f t="shared" si="11"/>
        <v>495127</v>
      </c>
      <c r="N77" s="69"/>
    </row>
    <row r="78" spans="1:14" x14ac:dyDescent="0.3">
      <c r="A78" s="39" t="s">
        <v>78</v>
      </c>
      <c r="B78" s="40"/>
      <c r="C78" s="41" t="s">
        <v>79</v>
      </c>
      <c r="D78" s="42"/>
      <c r="E78" s="43"/>
      <c r="F78" s="44"/>
      <c r="G78" s="44"/>
      <c r="H78" s="44"/>
      <c r="I78" s="44"/>
      <c r="J78" s="44"/>
      <c r="K78" s="44"/>
      <c r="L78" s="44"/>
    </row>
    <row r="79" spans="1:14" x14ac:dyDescent="0.3">
      <c r="A79" s="10">
        <v>1</v>
      </c>
      <c r="B79" s="14"/>
      <c r="C79" s="15"/>
      <c r="D79" s="16" t="s">
        <v>80</v>
      </c>
      <c r="E79" s="17">
        <v>10640</v>
      </c>
      <c r="F79" s="17">
        <v>4949</v>
      </c>
      <c r="G79" s="17">
        <v>8411</v>
      </c>
      <c r="H79" s="17">
        <v>5671</v>
      </c>
      <c r="I79" s="17">
        <f>45+131</f>
        <v>176</v>
      </c>
      <c r="J79" s="17">
        <f>1573+4481</f>
        <v>6054</v>
      </c>
      <c r="K79" s="17">
        <v>430</v>
      </c>
      <c r="L79" s="17">
        <v>3912</v>
      </c>
    </row>
    <row r="80" spans="1:14" x14ac:dyDescent="0.3">
      <c r="A80" s="10">
        <v>2</v>
      </c>
      <c r="B80" s="14"/>
      <c r="C80" s="15"/>
      <c r="D80" s="16" t="s">
        <v>81</v>
      </c>
      <c r="E80" s="17">
        <v>81796</v>
      </c>
      <c r="F80" s="17">
        <v>54971</v>
      </c>
      <c r="G80" s="17">
        <v>109689</v>
      </c>
      <c r="H80" s="17">
        <v>177872</v>
      </c>
      <c r="I80" s="17">
        <f>14622+30911</f>
        <v>45533</v>
      </c>
      <c r="J80" s="17">
        <f>64910+180125</f>
        <v>245035</v>
      </c>
      <c r="K80" s="17">
        <v>36566</v>
      </c>
      <c r="L80" s="17">
        <v>191168</v>
      </c>
    </row>
    <row r="81" spans="1:12" x14ac:dyDescent="0.3">
      <c r="A81" s="10">
        <v>3</v>
      </c>
      <c r="B81" s="14"/>
      <c r="C81" s="15"/>
      <c r="D81" s="16" t="s">
        <v>82</v>
      </c>
      <c r="E81" s="17">
        <v>32087</v>
      </c>
      <c r="F81" s="17">
        <v>58976</v>
      </c>
      <c r="G81" s="17">
        <v>122195</v>
      </c>
      <c r="H81" s="17">
        <v>129726</v>
      </c>
      <c r="I81" s="17">
        <f>18413+46998</f>
        <v>65411</v>
      </c>
      <c r="J81" s="17">
        <f>57730+189673</f>
        <v>247403</v>
      </c>
      <c r="K81" s="17">
        <v>73407</v>
      </c>
      <c r="L81" s="17">
        <v>291688</v>
      </c>
    </row>
    <row r="82" spans="1:12" x14ac:dyDescent="0.3">
      <c r="A82" s="10">
        <v>4</v>
      </c>
      <c r="B82" s="14"/>
      <c r="C82" s="15"/>
      <c r="D82" s="16" t="s">
        <v>83</v>
      </c>
      <c r="E82" s="17">
        <v>41243</v>
      </c>
      <c r="F82" s="17">
        <v>22765</v>
      </c>
      <c r="G82" s="17">
        <v>47019</v>
      </c>
      <c r="H82" s="17">
        <v>32921</v>
      </c>
      <c r="I82" s="17">
        <f>4445+6303</f>
        <v>10748</v>
      </c>
      <c r="J82" s="17">
        <f>14877+43920</f>
        <v>58797</v>
      </c>
      <c r="K82" s="17">
        <v>5823</v>
      </c>
      <c r="L82" s="17">
        <v>40102</v>
      </c>
    </row>
    <row r="83" spans="1:12" x14ac:dyDescent="0.3">
      <c r="A83" s="10">
        <v>5</v>
      </c>
      <c r="B83" s="14"/>
      <c r="C83" s="15"/>
      <c r="D83" s="16" t="s">
        <v>84</v>
      </c>
      <c r="E83" s="17">
        <v>16883</v>
      </c>
      <c r="F83" s="17">
        <v>6602</v>
      </c>
      <c r="G83" s="17">
        <v>12198</v>
      </c>
      <c r="H83" s="17">
        <v>12558</v>
      </c>
      <c r="I83" s="17">
        <f>6+329</f>
        <v>335</v>
      </c>
      <c r="J83" s="17">
        <f>6605+17002</f>
        <v>23607</v>
      </c>
      <c r="K83" s="27" t="s">
        <v>17</v>
      </c>
      <c r="L83" s="17">
        <v>14043</v>
      </c>
    </row>
    <row r="84" spans="1:12" x14ac:dyDescent="0.3">
      <c r="A84" s="10">
        <v>6</v>
      </c>
      <c r="B84" s="14"/>
      <c r="C84" s="15"/>
      <c r="D84" s="16" t="s">
        <v>85</v>
      </c>
      <c r="E84" s="17">
        <v>8640</v>
      </c>
      <c r="F84" s="17">
        <v>3119</v>
      </c>
      <c r="G84" s="17">
        <v>7004</v>
      </c>
      <c r="H84" s="17">
        <v>7044</v>
      </c>
      <c r="I84" s="27" t="s">
        <v>17</v>
      </c>
      <c r="J84" s="17">
        <f>3113+9069</f>
        <v>12182</v>
      </c>
      <c r="K84" s="27" t="s">
        <v>17</v>
      </c>
      <c r="L84" s="17">
        <v>9269</v>
      </c>
    </row>
    <row r="85" spans="1:12" x14ac:dyDescent="0.3">
      <c r="A85" s="10">
        <v>7</v>
      </c>
      <c r="B85" s="14"/>
      <c r="C85" s="15"/>
      <c r="D85" s="16" t="s">
        <v>86</v>
      </c>
      <c r="E85" s="17">
        <v>32242</v>
      </c>
      <c r="F85" s="17">
        <v>14425</v>
      </c>
      <c r="G85" s="17">
        <v>34992</v>
      </c>
      <c r="H85" s="17">
        <v>17316</v>
      </c>
      <c r="I85" s="17">
        <f>692+2589</f>
        <v>3281</v>
      </c>
      <c r="J85" s="17">
        <f>1400+4147</f>
        <v>5547</v>
      </c>
      <c r="K85" s="17">
        <v>6708</v>
      </c>
      <c r="L85" s="17">
        <v>11855</v>
      </c>
    </row>
    <row r="86" spans="1:12" x14ac:dyDescent="0.3">
      <c r="A86" s="10">
        <v>8</v>
      </c>
      <c r="B86" s="14"/>
      <c r="C86" s="15"/>
      <c r="D86" s="16" t="s">
        <v>87</v>
      </c>
      <c r="E86" s="17">
        <v>77842</v>
      </c>
      <c r="F86" s="17">
        <v>23674</v>
      </c>
      <c r="G86" s="17">
        <v>37413</v>
      </c>
      <c r="H86" s="17">
        <v>21589</v>
      </c>
      <c r="I86" s="27" t="s">
        <v>17</v>
      </c>
      <c r="J86" s="17">
        <f>10826+34563</f>
        <v>45389</v>
      </c>
      <c r="K86" s="27">
        <v>3604</v>
      </c>
      <c r="L86" s="17">
        <v>35429</v>
      </c>
    </row>
    <row r="87" spans="1:12" x14ac:dyDescent="0.3">
      <c r="A87" s="10">
        <v>9</v>
      </c>
      <c r="B87" s="14"/>
      <c r="C87" s="15"/>
      <c r="D87" s="16" t="s">
        <v>88</v>
      </c>
      <c r="E87" s="17">
        <v>621</v>
      </c>
      <c r="F87" s="17">
        <v>206</v>
      </c>
      <c r="G87" s="17">
        <v>417</v>
      </c>
      <c r="H87" s="17">
        <v>465</v>
      </c>
      <c r="I87" s="17">
        <f>10+10</f>
        <v>20</v>
      </c>
      <c r="J87" s="17">
        <f>51+149</f>
        <v>200</v>
      </c>
      <c r="K87" s="17">
        <v>35</v>
      </c>
      <c r="L87" s="17">
        <v>352</v>
      </c>
    </row>
    <row r="88" spans="1:12" x14ac:dyDescent="0.3">
      <c r="A88" s="10">
        <v>10</v>
      </c>
      <c r="B88" s="14"/>
      <c r="C88" s="15"/>
      <c r="D88" s="16" t="s">
        <v>89</v>
      </c>
      <c r="E88" s="17">
        <v>89506</v>
      </c>
      <c r="F88" s="17">
        <v>1240</v>
      </c>
      <c r="G88" s="17">
        <v>2439</v>
      </c>
      <c r="H88" s="17">
        <v>6930</v>
      </c>
      <c r="I88" s="17">
        <f>714+1488</f>
        <v>2202</v>
      </c>
      <c r="J88" s="17">
        <f>1285+2937</f>
        <v>4222</v>
      </c>
      <c r="K88" s="17">
        <v>4483</v>
      </c>
      <c r="L88" s="17">
        <v>5852</v>
      </c>
    </row>
    <row r="89" spans="1:12" x14ac:dyDescent="0.3">
      <c r="A89" s="10">
        <v>11</v>
      </c>
      <c r="B89" s="14"/>
      <c r="C89" s="15"/>
      <c r="D89" s="16" t="s">
        <v>90</v>
      </c>
      <c r="E89" s="25" t="s">
        <v>17</v>
      </c>
      <c r="F89" s="17">
        <v>34</v>
      </c>
      <c r="G89" s="27" t="s">
        <v>17</v>
      </c>
      <c r="H89" s="27" t="s">
        <v>17</v>
      </c>
      <c r="I89" s="27" t="s">
        <v>17</v>
      </c>
      <c r="J89" s="27" t="s">
        <v>17</v>
      </c>
      <c r="K89" s="27" t="s">
        <v>17</v>
      </c>
      <c r="L89" s="27" t="s">
        <v>17</v>
      </c>
    </row>
    <row r="90" spans="1:12" x14ac:dyDescent="0.3">
      <c r="A90" s="10">
        <v>12</v>
      </c>
      <c r="B90" s="14"/>
      <c r="C90" s="15"/>
      <c r="D90" s="16" t="s">
        <v>91</v>
      </c>
      <c r="E90" s="17">
        <v>32240</v>
      </c>
      <c r="F90" s="17">
        <v>68758</v>
      </c>
      <c r="G90" s="17">
        <v>63412</v>
      </c>
      <c r="H90" s="17">
        <v>140026</v>
      </c>
      <c r="I90" s="17">
        <f>52699+105851</f>
        <v>158550</v>
      </c>
      <c r="J90" s="17">
        <f>34199+81260</f>
        <v>115459</v>
      </c>
      <c r="K90" s="17">
        <v>133851</v>
      </c>
      <c r="L90" s="17">
        <v>117250</v>
      </c>
    </row>
    <row r="91" spans="1:12" x14ac:dyDescent="0.3">
      <c r="A91" s="10">
        <v>13</v>
      </c>
      <c r="B91" s="14"/>
      <c r="C91" s="15"/>
      <c r="D91" s="16" t="s">
        <v>92</v>
      </c>
      <c r="E91" s="34">
        <v>0</v>
      </c>
      <c r="F91" s="34">
        <v>0</v>
      </c>
      <c r="G91" s="34">
        <v>0</v>
      </c>
      <c r="H91" s="34">
        <v>0</v>
      </c>
      <c r="I91" s="34">
        <v>0</v>
      </c>
      <c r="J91" s="34">
        <v>0</v>
      </c>
      <c r="K91" s="36" t="s">
        <v>17</v>
      </c>
      <c r="L91" s="36" t="s">
        <v>17</v>
      </c>
    </row>
    <row r="92" spans="1:12" x14ac:dyDescent="0.3">
      <c r="A92" s="10">
        <v>14</v>
      </c>
      <c r="B92" s="14"/>
      <c r="C92" s="15"/>
      <c r="D92" s="16" t="s">
        <v>93</v>
      </c>
      <c r="E92" s="34">
        <v>0</v>
      </c>
      <c r="F92" s="17">
        <v>34</v>
      </c>
      <c r="G92" s="17">
        <v>6</v>
      </c>
      <c r="H92" s="34">
        <v>0</v>
      </c>
      <c r="I92" s="34">
        <v>0</v>
      </c>
      <c r="J92" s="34">
        <v>0</v>
      </c>
      <c r="K92" s="36" t="s">
        <v>17</v>
      </c>
      <c r="L92" s="36" t="s">
        <v>17</v>
      </c>
    </row>
    <row r="93" spans="1:12" x14ac:dyDescent="0.3">
      <c r="A93" s="10">
        <v>15</v>
      </c>
      <c r="B93" s="14"/>
      <c r="C93" s="15"/>
      <c r="D93" s="16" t="s">
        <v>94</v>
      </c>
      <c r="E93" s="34">
        <v>0</v>
      </c>
      <c r="F93" s="34">
        <v>0</v>
      </c>
      <c r="G93" s="34">
        <v>0</v>
      </c>
      <c r="H93" s="34">
        <v>0</v>
      </c>
      <c r="I93" s="34">
        <v>0</v>
      </c>
      <c r="J93" s="34">
        <v>0</v>
      </c>
      <c r="K93" s="36" t="s">
        <v>17</v>
      </c>
      <c r="L93" s="36" t="s">
        <v>17</v>
      </c>
    </row>
    <row r="94" spans="1:12" x14ac:dyDescent="0.3">
      <c r="A94" s="10">
        <v>16</v>
      </c>
      <c r="B94" s="14"/>
      <c r="C94" s="15"/>
      <c r="D94" s="16" t="s">
        <v>95</v>
      </c>
      <c r="E94" s="34">
        <v>0</v>
      </c>
      <c r="F94" s="17">
        <v>5088</v>
      </c>
      <c r="G94" s="17">
        <v>8017</v>
      </c>
      <c r="H94" s="17"/>
      <c r="I94" s="17">
        <f>792+1647</f>
        <v>2439</v>
      </c>
      <c r="J94" s="17">
        <f>1972+3741</f>
        <v>5713</v>
      </c>
      <c r="K94" s="17">
        <v>1791</v>
      </c>
      <c r="L94" s="17">
        <v>3382</v>
      </c>
    </row>
    <row r="95" spans="1:12" x14ac:dyDescent="0.3">
      <c r="A95" s="10">
        <v>17</v>
      </c>
      <c r="B95" s="14"/>
      <c r="C95" s="15"/>
      <c r="D95" s="16" t="s">
        <v>96</v>
      </c>
      <c r="E95" s="36" t="s">
        <v>17</v>
      </c>
      <c r="F95" s="27" t="s">
        <v>17</v>
      </c>
      <c r="G95" s="27" t="s">
        <v>17</v>
      </c>
      <c r="H95" s="17">
        <v>7114</v>
      </c>
      <c r="I95" s="34">
        <v>0</v>
      </c>
      <c r="J95" s="34">
        <v>0</v>
      </c>
      <c r="K95" s="36" t="s">
        <v>17</v>
      </c>
      <c r="L95" s="36" t="s">
        <v>17</v>
      </c>
    </row>
    <row r="96" spans="1:12" x14ac:dyDescent="0.3">
      <c r="A96" s="10">
        <v>18</v>
      </c>
      <c r="B96" s="14"/>
      <c r="C96" s="15"/>
      <c r="D96" s="16" t="s">
        <v>97</v>
      </c>
      <c r="E96" s="36" t="s">
        <v>17</v>
      </c>
      <c r="F96" s="27" t="s">
        <v>17</v>
      </c>
      <c r="G96" s="27" t="s">
        <v>17</v>
      </c>
      <c r="H96" s="27" t="s">
        <v>17</v>
      </c>
      <c r="I96" s="17">
        <f>3771+7240</f>
        <v>11011</v>
      </c>
      <c r="J96" s="17">
        <f>7206+22263</f>
        <v>29469</v>
      </c>
      <c r="K96" s="27" t="s">
        <v>17</v>
      </c>
      <c r="L96" s="27" t="s">
        <v>17</v>
      </c>
    </row>
    <row r="97" spans="1:13" x14ac:dyDescent="0.3">
      <c r="A97" s="10">
        <v>19</v>
      </c>
      <c r="B97" s="14"/>
      <c r="C97" s="15"/>
      <c r="D97" s="16" t="s">
        <v>98</v>
      </c>
      <c r="E97" s="36" t="s">
        <v>17</v>
      </c>
      <c r="F97" s="27" t="s">
        <v>17</v>
      </c>
      <c r="G97" s="27" t="s">
        <v>17</v>
      </c>
      <c r="H97" s="27" t="s">
        <v>17</v>
      </c>
      <c r="I97" s="17">
        <f>21758+12527</f>
        <v>34285</v>
      </c>
      <c r="J97" s="45">
        <f>434+1617</f>
        <v>2051</v>
      </c>
      <c r="K97" s="17">
        <v>22131</v>
      </c>
      <c r="L97" s="45">
        <v>4787</v>
      </c>
    </row>
    <row r="98" spans="1:13" x14ac:dyDescent="0.3">
      <c r="A98" s="10">
        <v>20</v>
      </c>
      <c r="B98" s="14"/>
      <c r="C98" s="15"/>
      <c r="D98" s="16" t="s">
        <v>99</v>
      </c>
      <c r="E98" s="36" t="s">
        <v>17</v>
      </c>
      <c r="F98" s="27" t="s">
        <v>17</v>
      </c>
      <c r="G98" s="27" t="s">
        <v>17</v>
      </c>
      <c r="H98" s="27" t="s">
        <v>17</v>
      </c>
      <c r="I98" s="78">
        <f>89482+185623</f>
        <v>275105</v>
      </c>
      <c r="J98" s="79"/>
      <c r="K98" s="73">
        <v>57959</v>
      </c>
      <c r="L98" s="72">
        <v>89797</v>
      </c>
    </row>
    <row r="99" spans="1:13" x14ac:dyDescent="0.3">
      <c r="A99" s="10"/>
      <c r="B99" s="30"/>
      <c r="C99" s="31" t="s">
        <v>27</v>
      </c>
      <c r="D99" s="35"/>
      <c r="E99" s="32">
        <f>SUM(E79:E95)</f>
        <v>423740</v>
      </c>
      <c r="F99" s="32">
        <f>SUM(F79:F95)</f>
        <v>264841</v>
      </c>
      <c r="G99" s="32">
        <f>SUM(G79:G95)</f>
        <v>453212</v>
      </c>
      <c r="H99" s="32">
        <f>SUM(H79:H95)</f>
        <v>559232</v>
      </c>
      <c r="I99" s="32">
        <f>SUM(I79:I97)</f>
        <v>333991</v>
      </c>
      <c r="J99" s="32">
        <f>SUM(J79:J97)</f>
        <v>801128</v>
      </c>
      <c r="K99" s="32">
        <f>SUM(K79:K98)</f>
        <v>346788</v>
      </c>
      <c r="L99" s="32">
        <f>SUM(L79:L98)</f>
        <v>818886</v>
      </c>
      <c r="M99" s="69"/>
    </row>
    <row r="100" spans="1:13" x14ac:dyDescent="0.3">
      <c r="A100" s="20" t="s">
        <v>100</v>
      </c>
      <c r="B100" s="21"/>
      <c r="C100" s="2" t="s">
        <v>101</v>
      </c>
      <c r="D100" s="33"/>
      <c r="E100" s="34"/>
      <c r="F100" s="17"/>
      <c r="G100" s="17"/>
      <c r="H100" s="17"/>
      <c r="I100" s="17"/>
      <c r="J100" s="17"/>
      <c r="K100" s="17"/>
      <c r="L100" s="17"/>
    </row>
    <row r="101" spans="1:13" x14ac:dyDescent="0.3">
      <c r="A101" s="10">
        <v>1</v>
      </c>
      <c r="B101" s="14"/>
      <c r="C101" s="15"/>
      <c r="D101" s="16" t="s">
        <v>102</v>
      </c>
      <c r="E101" s="17">
        <v>9588</v>
      </c>
      <c r="F101" s="17">
        <v>30583</v>
      </c>
      <c r="G101" s="17">
        <v>60217</v>
      </c>
      <c r="H101" s="17">
        <v>67397</v>
      </c>
      <c r="I101" s="17">
        <f>21847+23950</f>
        <v>45797</v>
      </c>
      <c r="J101" s="17">
        <f>3018+3905</f>
        <v>6923</v>
      </c>
      <c r="K101" s="17">
        <v>9049</v>
      </c>
      <c r="L101" s="17">
        <v>3000</v>
      </c>
    </row>
    <row r="102" spans="1:13" x14ac:dyDescent="0.3">
      <c r="A102" s="10">
        <v>2</v>
      </c>
      <c r="B102" s="14"/>
      <c r="C102" s="15"/>
      <c r="D102" s="16" t="s">
        <v>103</v>
      </c>
      <c r="E102" s="17">
        <v>79758</v>
      </c>
      <c r="F102" s="17">
        <v>100268</v>
      </c>
      <c r="G102" s="17">
        <v>104156</v>
      </c>
      <c r="H102" s="17">
        <v>95429</v>
      </c>
      <c r="I102" s="17">
        <f>10625+12062</f>
        <v>22687</v>
      </c>
      <c r="J102" s="17">
        <f>20148+18903</f>
        <v>39051</v>
      </c>
      <c r="K102" s="17">
        <v>33988</v>
      </c>
      <c r="L102" s="17">
        <v>23639</v>
      </c>
    </row>
    <row r="103" spans="1:13" x14ac:dyDescent="0.3">
      <c r="A103" s="10">
        <v>3</v>
      </c>
      <c r="B103" s="14"/>
      <c r="C103" s="15"/>
      <c r="D103" s="16" t="s">
        <v>104</v>
      </c>
      <c r="E103" s="17">
        <v>303917</v>
      </c>
      <c r="F103" s="17">
        <v>128323</v>
      </c>
      <c r="G103" s="17">
        <v>73711</v>
      </c>
      <c r="H103" s="17">
        <v>140059</v>
      </c>
      <c r="I103" s="17">
        <f>21668+21831</f>
        <v>43499</v>
      </c>
      <c r="J103" s="17">
        <f>24813+23905</f>
        <v>48718</v>
      </c>
      <c r="K103" s="17">
        <v>40694</v>
      </c>
      <c r="L103" s="17">
        <v>33937</v>
      </c>
    </row>
    <row r="104" spans="1:13" x14ac:dyDescent="0.3">
      <c r="A104" s="10">
        <v>4</v>
      </c>
      <c r="B104" s="14"/>
      <c r="C104" s="15"/>
      <c r="D104" s="16" t="s">
        <v>105</v>
      </c>
      <c r="E104" s="25" t="s">
        <v>17</v>
      </c>
      <c r="F104" s="17">
        <v>35365</v>
      </c>
      <c r="G104" s="25">
        <v>8186</v>
      </c>
      <c r="H104" s="25">
        <v>20293</v>
      </c>
      <c r="I104" s="25">
        <f>4365+5526</f>
        <v>9891</v>
      </c>
      <c r="J104" s="25">
        <f>303+520</f>
        <v>823</v>
      </c>
      <c r="K104" s="25">
        <v>18610</v>
      </c>
      <c r="L104" s="25">
        <v>2872</v>
      </c>
    </row>
    <row r="105" spans="1:13" x14ac:dyDescent="0.3">
      <c r="A105" s="10">
        <v>5</v>
      </c>
      <c r="B105" s="14"/>
      <c r="C105" s="15"/>
      <c r="D105" s="16" t="s">
        <v>106</v>
      </c>
      <c r="E105" s="17">
        <v>51159</v>
      </c>
      <c r="F105" s="17">
        <v>68608</v>
      </c>
      <c r="G105" s="17">
        <v>52515</v>
      </c>
      <c r="H105" s="17">
        <v>22285</v>
      </c>
      <c r="I105" s="17">
        <f>2689+3007</f>
        <v>5696</v>
      </c>
      <c r="J105" s="17">
        <f>12401+12201</f>
        <v>24602</v>
      </c>
      <c r="K105" s="17">
        <v>11964</v>
      </c>
      <c r="L105" s="17">
        <v>9293</v>
      </c>
    </row>
    <row r="106" spans="1:13" x14ac:dyDescent="0.3">
      <c r="A106" s="10">
        <v>6</v>
      </c>
      <c r="B106" s="14"/>
      <c r="C106" s="15"/>
      <c r="D106" s="16" t="s">
        <v>107</v>
      </c>
      <c r="E106" s="17">
        <v>13154</v>
      </c>
      <c r="F106" s="17">
        <v>51258</v>
      </c>
      <c r="G106" s="17">
        <v>55711</v>
      </c>
      <c r="H106" s="17">
        <v>57592</v>
      </c>
      <c r="I106" s="17">
        <f>18290+18338</f>
        <v>36628</v>
      </c>
      <c r="J106" s="17">
        <f>369+606</f>
        <v>975</v>
      </c>
      <c r="K106" s="17">
        <v>33484</v>
      </c>
      <c r="L106" s="17">
        <v>7237</v>
      </c>
    </row>
    <row r="107" spans="1:13" x14ac:dyDescent="0.3">
      <c r="A107" s="10">
        <v>7</v>
      </c>
      <c r="B107" s="14"/>
      <c r="C107" s="15"/>
      <c r="D107" s="16" t="s">
        <v>108</v>
      </c>
      <c r="E107" s="17">
        <v>42408</v>
      </c>
      <c r="F107" s="25" t="s">
        <v>17</v>
      </c>
      <c r="G107" s="27" t="s">
        <v>17</v>
      </c>
      <c r="H107" s="27" t="s">
        <v>17</v>
      </c>
      <c r="I107" s="27">
        <f>3129+3464</f>
        <v>6593</v>
      </c>
      <c r="J107" s="27">
        <f>967+740</f>
        <v>1707</v>
      </c>
      <c r="K107" s="27">
        <v>14403</v>
      </c>
      <c r="L107" s="27">
        <v>4149</v>
      </c>
    </row>
    <row r="108" spans="1:13" x14ac:dyDescent="0.3">
      <c r="A108" s="10">
        <v>8</v>
      </c>
      <c r="B108" s="14"/>
      <c r="C108" s="15"/>
      <c r="D108" s="16" t="s">
        <v>109</v>
      </c>
      <c r="E108" s="17">
        <v>2480</v>
      </c>
      <c r="F108" s="25">
        <v>34209</v>
      </c>
      <c r="G108" s="27" t="s">
        <v>17</v>
      </c>
      <c r="H108" s="27">
        <v>101547</v>
      </c>
      <c r="I108" s="27">
        <f>100576+971</f>
        <v>101547</v>
      </c>
      <c r="J108" s="27">
        <v>0</v>
      </c>
      <c r="K108" s="27">
        <v>25652</v>
      </c>
      <c r="L108" s="27">
        <v>13985</v>
      </c>
    </row>
    <row r="109" spans="1:13" x14ac:dyDescent="0.3">
      <c r="A109" s="10">
        <v>9</v>
      </c>
      <c r="B109" s="14"/>
      <c r="C109" s="15"/>
      <c r="D109" s="16" t="s">
        <v>110</v>
      </c>
      <c r="E109" s="17">
        <v>9099</v>
      </c>
      <c r="F109" s="17">
        <v>44665</v>
      </c>
      <c r="G109" s="17">
        <v>31262</v>
      </c>
      <c r="H109" s="17">
        <v>10372</v>
      </c>
      <c r="I109" s="17">
        <f>60</f>
        <v>60</v>
      </c>
      <c r="J109" s="17">
        <f>3085+4023</f>
        <v>7108</v>
      </c>
      <c r="K109" s="17">
        <v>2272</v>
      </c>
      <c r="L109" s="17">
        <v>6775</v>
      </c>
    </row>
    <row r="110" spans="1:13" x14ac:dyDescent="0.3">
      <c r="A110" s="10">
        <v>10</v>
      </c>
      <c r="B110" s="14"/>
      <c r="C110" s="15"/>
      <c r="D110" s="16" t="s">
        <v>111</v>
      </c>
      <c r="E110" s="17">
        <v>25550</v>
      </c>
      <c r="F110" s="17">
        <v>52304</v>
      </c>
      <c r="G110" s="17">
        <v>36304</v>
      </c>
      <c r="H110" s="17">
        <v>32473</v>
      </c>
      <c r="I110" s="17">
        <f>1315+1287</f>
        <v>2602</v>
      </c>
      <c r="J110" s="17">
        <f>10034+11000</f>
        <v>21034</v>
      </c>
      <c r="K110" s="17">
        <v>5656</v>
      </c>
      <c r="L110" s="17">
        <v>8241</v>
      </c>
    </row>
    <row r="111" spans="1:13" x14ac:dyDescent="0.3">
      <c r="A111" s="10">
        <v>11</v>
      </c>
      <c r="B111" s="14"/>
      <c r="C111" s="15"/>
      <c r="D111" s="16" t="s">
        <v>112</v>
      </c>
      <c r="E111" s="25" t="s">
        <v>17</v>
      </c>
      <c r="F111" s="25" t="s">
        <v>17</v>
      </c>
      <c r="G111" s="25" t="s">
        <v>17</v>
      </c>
      <c r="H111" s="25" t="s">
        <v>17</v>
      </c>
      <c r="I111" s="27" t="s">
        <v>17</v>
      </c>
      <c r="J111" s="27" t="s">
        <v>17</v>
      </c>
      <c r="K111" s="27" t="s">
        <v>17</v>
      </c>
      <c r="L111" s="27" t="s">
        <v>17</v>
      </c>
    </row>
    <row r="112" spans="1:13" x14ac:dyDescent="0.3">
      <c r="A112" s="10">
        <v>12</v>
      </c>
      <c r="B112" s="14"/>
      <c r="C112" s="15"/>
      <c r="D112" s="16" t="s">
        <v>113</v>
      </c>
      <c r="E112" s="25" t="s">
        <v>17</v>
      </c>
      <c r="F112" s="25" t="s">
        <v>17</v>
      </c>
      <c r="G112" s="25" t="s">
        <v>17</v>
      </c>
      <c r="H112" s="25" t="s">
        <v>17</v>
      </c>
      <c r="I112" s="27" t="s">
        <v>17</v>
      </c>
      <c r="J112" s="27" t="s">
        <v>17</v>
      </c>
      <c r="K112" s="27" t="s">
        <v>17</v>
      </c>
      <c r="L112" s="27" t="s">
        <v>17</v>
      </c>
    </row>
    <row r="113" spans="1:12" x14ac:dyDescent="0.3">
      <c r="A113" s="10">
        <v>13</v>
      </c>
      <c r="B113" s="14"/>
      <c r="C113" s="15"/>
      <c r="D113" s="16" t="s">
        <v>114</v>
      </c>
      <c r="E113" s="25" t="s">
        <v>17</v>
      </c>
      <c r="F113" s="25" t="s">
        <v>17</v>
      </c>
      <c r="G113" s="25" t="s">
        <v>17</v>
      </c>
      <c r="H113" s="25" t="s">
        <v>17</v>
      </c>
      <c r="I113" s="25">
        <f>3987+2646</f>
        <v>6633</v>
      </c>
      <c r="J113" s="25">
        <f>1524+1138</f>
        <v>2662</v>
      </c>
      <c r="K113" s="25">
        <v>7951</v>
      </c>
      <c r="L113" s="25">
        <v>4346</v>
      </c>
    </row>
    <row r="114" spans="1:12" x14ac:dyDescent="0.3">
      <c r="A114" s="10">
        <v>14</v>
      </c>
      <c r="B114" s="14"/>
      <c r="C114" s="15"/>
      <c r="D114" s="16" t="s">
        <v>115</v>
      </c>
      <c r="E114" s="25">
        <v>34085</v>
      </c>
      <c r="F114" s="25">
        <v>20939</v>
      </c>
      <c r="G114" s="25">
        <v>31792</v>
      </c>
      <c r="H114" s="25">
        <v>4470</v>
      </c>
      <c r="I114" s="25">
        <f>959+385</f>
        <v>1344</v>
      </c>
      <c r="J114" s="25">
        <f>1293+1731</f>
        <v>3024</v>
      </c>
      <c r="K114" s="25">
        <v>7941</v>
      </c>
      <c r="L114" s="25">
        <v>2002</v>
      </c>
    </row>
    <row r="115" spans="1:12" x14ac:dyDescent="0.3">
      <c r="A115" s="10">
        <v>15</v>
      </c>
      <c r="B115" s="14"/>
      <c r="C115" s="15"/>
      <c r="D115" s="16" t="s">
        <v>116</v>
      </c>
      <c r="E115" s="17">
        <v>1011</v>
      </c>
      <c r="F115" s="17">
        <v>2708</v>
      </c>
      <c r="G115" s="17">
        <v>718</v>
      </c>
      <c r="H115" s="17">
        <v>3408</v>
      </c>
      <c r="I115" s="17">
        <f>841+660</f>
        <v>1501</v>
      </c>
      <c r="J115" s="17">
        <f>458+382</f>
        <v>840</v>
      </c>
      <c r="K115" s="17">
        <v>1286</v>
      </c>
      <c r="L115" s="17">
        <v>1179</v>
      </c>
    </row>
    <row r="116" spans="1:12" x14ac:dyDescent="0.3">
      <c r="A116" s="7">
        <v>16</v>
      </c>
      <c r="B116" s="46"/>
      <c r="C116" s="47"/>
      <c r="D116" s="47" t="s">
        <v>117</v>
      </c>
      <c r="E116" s="48">
        <v>10739</v>
      </c>
      <c r="F116" s="48">
        <v>6539</v>
      </c>
      <c r="G116" s="48">
        <v>22906</v>
      </c>
      <c r="H116" s="48">
        <v>4986</v>
      </c>
      <c r="I116" s="48">
        <f>568+330</f>
        <v>898</v>
      </c>
      <c r="J116" s="48">
        <f>1669+1193</f>
        <v>2862</v>
      </c>
      <c r="K116" s="48">
        <v>2408</v>
      </c>
      <c r="L116" s="48">
        <v>1044</v>
      </c>
    </row>
    <row r="117" spans="1:12" x14ac:dyDescent="0.3">
      <c r="A117" s="11"/>
      <c r="B117" s="15"/>
      <c r="C117" s="15"/>
      <c r="D117" s="15"/>
      <c r="E117" s="49"/>
      <c r="F117" s="50"/>
      <c r="G117" s="50"/>
      <c r="H117" s="50"/>
      <c r="I117" s="50"/>
      <c r="J117" s="50"/>
      <c r="K117" s="50"/>
      <c r="L117" s="50"/>
    </row>
    <row r="118" spans="1:12" x14ac:dyDescent="0.3">
      <c r="A118" s="51">
        <v>17</v>
      </c>
      <c r="B118" s="52"/>
      <c r="C118" s="52"/>
      <c r="D118" s="53" t="s">
        <v>118</v>
      </c>
      <c r="E118" s="44">
        <v>1205</v>
      </c>
      <c r="F118" s="44">
        <v>5264</v>
      </c>
      <c r="G118" s="44">
        <v>1802</v>
      </c>
      <c r="H118" s="44">
        <v>3216</v>
      </c>
      <c r="I118" s="44">
        <f>371+781</f>
        <v>1152</v>
      </c>
      <c r="J118" s="44">
        <f>195+632</f>
        <v>827</v>
      </c>
      <c r="K118" s="44">
        <v>1113</v>
      </c>
      <c r="L118" s="44">
        <v>862</v>
      </c>
    </row>
    <row r="119" spans="1:12" x14ac:dyDescent="0.3">
      <c r="A119" s="54">
        <v>18</v>
      </c>
      <c r="B119" s="15"/>
      <c r="C119" s="15"/>
      <c r="D119" s="55" t="s">
        <v>119</v>
      </c>
      <c r="E119" s="17">
        <v>60774</v>
      </c>
      <c r="F119" s="17">
        <v>58785</v>
      </c>
      <c r="G119" s="17">
        <v>39684</v>
      </c>
      <c r="H119" s="17">
        <v>65872</v>
      </c>
      <c r="I119" s="17">
        <f>3281+3438</f>
        <v>6719</v>
      </c>
      <c r="J119" s="17">
        <f>18191+21203</f>
        <v>39394</v>
      </c>
      <c r="K119" s="17">
        <v>8098</v>
      </c>
      <c r="L119" s="17">
        <v>35036</v>
      </c>
    </row>
    <row r="120" spans="1:12" x14ac:dyDescent="0.3">
      <c r="A120" s="54">
        <v>19</v>
      </c>
      <c r="B120" s="15"/>
      <c r="C120" s="15"/>
      <c r="D120" s="55" t="s">
        <v>120</v>
      </c>
      <c r="E120" s="27" t="s">
        <v>17</v>
      </c>
      <c r="F120" s="17">
        <v>12250</v>
      </c>
      <c r="G120" s="27">
        <v>80710</v>
      </c>
      <c r="H120" s="27">
        <v>13741</v>
      </c>
      <c r="I120" s="27">
        <f>3647+4161</f>
        <v>7808</v>
      </c>
      <c r="J120" s="27">
        <f>5512+2987</f>
        <v>8499</v>
      </c>
      <c r="K120" s="27">
        <v>11700</v>
      </c>
      <c r="L120" s="27">
        <v>6674</v>
      </c>
    </row>
    <row r="121" spans="1:12" x14ac:dyDescent="0.3">
      <c r="A121" s="54">
        <v>20</v>
      </c>
      <c r="B121" s="15"/>
      <c r="C121" s="15"/>
      <c r="D121" s="55" t="s">
        <v>121</v>
      </c>
      <c r="E121" s="25" t="s">
        <v>17</v>
      </c>
      <c r="F121" s="25" t="s">
        <v>17</v>
      </c>
      <c r="G121" s="27" t="s">
        <v>17</v>
      </c>
      <c r="H121" s="27" t="s">
        <v>17</v>
      </c>
      <c r="I121" s="27" t="s">
        <v>17</v>
      </c>
      <c r="J121" s="27" t="s">
        <v>17</v>
      </c>
      <c r="K121" s="27" t="s">
        <v>17</v>
      </c>
      <c r="L121" s="27" t="s">
        <v>17</v>
      </c>
    </row>
    <row r="122" spans="1:12" x14ac:dyDescent="0.3">
      <c r="A122" s="54">
        <v>21</v>
      </c>
      <c r="B122" s="15"/>
      <c r="C122" s="15"/>
      <c r="D122" s="55" t="s">
        <v>122</v>
      </c>
      <c r="E122" s="17">
        <v>21849</v>
      </c>
      <c r="F122" s="25" t="s">
        <v>17</v>
      </c>
      <c r="G122" s="17">
        <v>77511</v>
      </c>
      <c r="H122" s="17">
        <v>60746</v>
      </c>
      <c r="I122" s="17">
        <f>384+37</f>
        <v>421</v>
      </c>
      <c r="J122" s="17">
        <f>12451+24961</f>
        <v>37412</v>
      </c>
      <c r="K122" s="17"/>
      <c r="L122" s="17"/>
    </row>
    <row r="123" spans="1:12" x14ac:dyDescent="0.3">
      <c r="A123" s="54">
        <v>22</v>
      </c>
      <c r="B123" s="15"/>
      <c r="C123" s="15"/>
      <c r="D123" s="55" t="s">
        <v>123</v>
      </c>
      <c r="E123" s="25" t="s">
        <v>17</v>
      </c>
      <c r="F123" s="17">
        <v>18530</v>
      </c>
      <c r="G123" s="25" t="s">
        <v>17</v>
      </c>
      <c r="H123" s="25" t="s">
        <v>17</v>
      </c>
      <c r="I123" s="27" t="s">
        <v>17</v>
      </c>
      <c r="J123" s="27" t="s">
        <v>17</v>
      </c>
      <c r="K123" s="27" t="s">
        <v>17</v>
      </c>
      <c r="L123" s="27" t="s">
        <v>17</v>
      </c>
    </row>
    <row r="124" spans="1:12" x14ac:dyDescent="0.3">
      <c r="A124" s="54">
        <v>23</v>
      </c>
      <c r="B124" s="15"/>
      <c r="C124" s="15"/>
      <c r="D124" s="55" t="s">
        <v>124</v>
      </c>
      <c r="E124" s="25" t="s">
        <v>17</v>
      </c>
      <c r="F124" s="17">
        <v>644</v>
      </c>
      <c r="G124" s="25" t="s">
        <v>17</v>
      </c>
      <c r="H124" s="25" t="s">
        <v>17</v>
      </c>
      <c r="I124" s="27" t="s">
        <v>17</v>
      </c>
      <c r="J124" s="27" t="s">
        <v>17</v>
      </c>
      <c r="K124" s="27" t="s">
        <v>17</v>
      </c>
      <c r="L124" s="27" t="s">
        <v>17</v>
      </c>
    </row>
    <row r="125" spans="1:12" x14ac:dyDescent="0.3">
      <c r="A125" s="54">
        <v>24</v>
      </c>
      <c r="B125" s="15"/>
      <c r="C125" s="15"/>
      <c r="D125" s="55" t="s">
        <v>125</v>
      </c>
      <c r="E125" s="25" t="s">
        <v>17</v>
      </c>
      <c r="F125" s="17">
        <v>444</v>
      </c>
      <c r="G125" s="25" t="s">
        <v>17</v>
      </c>
      <c r="H125" s="25" t="s">
        <v>17</v>
      </c>
      <c r="I125" s="27" t="s">
        <v>17</v>
      </c>
      <c r="J125" s="25">
        <f>994+788</f>
        <v>1782</v>
      </c>
      <c r="K125" s="27" t="s">
        <v>17</v>
      </c>
      <c r="L125" s="27" t="s">
        <v>17</v>
      </c>
    </row>
    <row r="126" spans="1:12" x14ac:dyDescent="0.3">
      <c r="A126" s="54">
        <v>25</v>
      </c>
      <c r="B126" s="15"/>
      <c r="C126" s="15"/>
      <c r="D126" s="55" t="s">
        <v>126</v>
      </c>
      <c r="E126" s="25" t="s">
        <v>17</v>
      </c>
      <c r="F126" s="17">
        <v>2500</v>
      </c>
      <c r="G126" s="17">
        <v>7750</v>
      </c>
      <c r="H126" s="25" t="s">
        <v>17</v>
      </c>
      <c r="I126" s="25"/>
      <c r="J126" s="27" t="s">
        <v>17</v>
      </c>
      <c r="K126" s="25">
        <v>15000</v>
      </c>
      <c r="L126" s="27">
        <v>933</v>
      </c>
    </row>
    <row r="127" spans="1:12" x14ac:dyDescent="0.3">
      <c r="A127" s="54">
        <v>26</v>
      </c>
      <c r="B127" s="15"/>
      <c r="C127" s="15"/>
      <c r="D127" s="55" t="s">
        <v>127</v>
      </c>
      <c r="E127" s="25" t="s">
        <v>17</v>
      </c>
      <c r="F127" s="17">
        <v>10500</v>
      </c>
      <c r="G127" s="17">
        <v>500</v>
      </c>
      <c r="H127" s="17">
        <v>145142</v>
      </c>
      <c r="I127" s="17">
        <f>30083+41500</f>
        <v>71583</v>
      </c>
      <c r="J127" s="25" t="s">
        <v>17</v>
      </c>
      <c r="K127" s="17">
        <v>40000</v>
      </c>
      <c r="L127" s="25">
        <v>5859</v>
      </c>
    </row>
    <row r="128" spans="1:12" x14ac:dyDescent="0.3">
      <c r="A128" s="54">
        <v>27</v>
      </c>
      <c r="B128" s="15"/>
      <c r="C128" s="15"/>
      <c r="D128" s="55" t="s">
        <v>128</v>
      </c>
      <c r="E128" s="25" t="s">
        <v>17</v>
      </c>
      <c r="F128" s="17">
        <v>4965</v>
      </c>
      <c r="G128" s="25" t="s">
        <v>17</v>
      </c>
      <c r="H128" s="25" t="s">
        <v>17</v>
      </c>
      <c r="I128" s="25" t="s">
        <v>17</v>
      </c>
      <c r="J128" s="25" t="s">
        <v>17</v>
      </c>
      <c r="K128" s="27" t="s">
        <v>17</v>
      </c>
      <c r="L128" s="27" t="s">
        <v>17</v>
      </c>
    </row>
    <row r="129" spans="1:12" x14ac:dyDescent="0.3">
      <c r="A129" s="54">
        <v>28</v>
      </c>
      <c r="B129" s="15"/>
      <c r="C129" s="15"/>
      <c r="D129" s="55" t="s">
        <v>129</v>
      </c>
      <c r="E129" s="25" t="s">
        <v>17</v>
      </c>
      <c r="F129" s="17">
        <v>5053</v>
      </c>
      <c r="G129" s="17">
        <v>7500</v>
      </c>
      <c r="H129" s="17">
        <v>25668</v>
      </c>
      <c r="I129" s="17">
        <f>10294+10295</f>
        <v>20589</v>
      </c>
      <c r="J129" s="17">
        <f>300+682</f>
        <v>982</v>
      </c>
      <c r="K129" s="17">
        <v>25850</v>
      </c>
      <c r="L129" s="17">
        <v>995</v>
      </c>
    </row>
    <row r="130" spans="1:12" x14ac:dyDescent="0.3">
      <c r="A130" s="54">
        <v>29</v>
      </c>
      <c r="B130" s="15"/>
      <c r="C130" s="15"/>
      <c r="D130" s="55" t="s">
        <v>130</v>
      </c>
      <c r="E130" s="25" t="s">
        <v>17</v>
      </c>
      <c r="F130" s="25" t="s">
        <v>17</v>
      </c>
      <c r="G130" s="17">
        <v>159</v>
      </c>
      <c r="H130" s="25" t="s">
        <v>17</v>
      </c>
      <c r="I130" s="25" t="s">
        <v>17</v>
      </c>
      <c r="J130" s="25" t="s">
        <v>17</v>
      </c>
      <c r="K130" s="27" t="s">
        <v>17</v>
      </c>
      <c r="L130" s="27" t="s">
        <v>17</v>
      </c>
    </row>
    <row r="131" spans="1:12" x14ac:dyDescent="0.3">
      <c r="A131" s="54">
        <v>30</v>
      </c>
      <c r="B131" s="15"/>
      <c r="C131" s="15"/>
      <c r="D131" s="55" t="s">
        <v>131</v>
      </c>
      <c r="E131" s="25" t="s">
        <v>17</v>
      </c>
      <c r="F131" s="25" t="s">
        <v>17</v>
      </c>
      <c r="G131" s="17">
        <v>5250</v>
      </c>
      <c r="H131" s="17">
        <v>13126</v>
      </c>
      <c r="I131" s="17">
        <f>6747+8246</f>
        <v>14993</v>
      </c>
      <c r="J131" s="17">
        <f>10+10</f>
        <v>20</v>
      </c>
      <c r="K131" s="17">
        <v>20000</v>
      </c>
      <c r="L131" s="17">
        <v>100</v>
      </c>
    </row>
    <row r="132" spans="1:12" x14ac:dyDescent="0.3">
      <c r="A132" s="54">
        <v>31</v>
      </c>
      <c r="B132" s="15"/>
      <c r="C132" s="15"/>
      <c r="D132" s="55" t="s">
        <v>132</v>
      </c>
      <c r="E132" s="25" t="s">
        <v>17</v>
      </c>
      <c r="F132" s="25" t="s">
        <v>17</v>
      </c>
      <c r="G132" s="17">
        <v>150</v>
      </c>
      <c r="H132" s="25" t="s">
        <v>17</v>
      </c>
      <c r="I132" s="27" t="s">
        <v>17</v>
      </c>
      <c r="J132" s="27" t="s">
        <v>17</v>
      </c>
      <c r="K132" s="27" t="s">
        <v>17</v>
      </c>
      <c r="L132" s="27" t="s">
        <v>17</v>
      </c>
    </row>
    <row r="133" spans="1:12" x14ac:dyDescent="0.3">
      <c r="A133" s="54">
        <v>32</v>
      </c>
      <c r="B133" s="15"/>
      <c r="C133" s="15"/>
      <c r="D133" s="55" t="s">
        <v>133</v>
      </c>
      <c r="E133" s="25" t="s">
        <v>17</v>
      </c>
      <c r="F133" s="25" t="s">
        <v>17</v>
      </c>
      <c r="G133" s="25" t="s">
        <v>17</v>
      </c>
      <c r="H133" s="17">
        <v>9212</v>
      </c>
      <c r="I133" s="27" t="s">
        <v>17</v>
      </c>
      <c r="J133" s="27" t="s">
        <v>17</v>
      </c>
      <c r="K133" s="27" t="s">
        <v>17</v>
      </c>
      <c r="L133" s="27" t="s">
        <v>17</v>
      </c>
    </row>
    <row r="134" spans="1:12" x14ac:dyDescent="0.3">
      <c r="A134" s="54">
        <v>33</v>
      </c>
      <c r="B134" s="15"/>
      <c r="C134" s="15"/>
      <c r="D134" s="55" t="s">
        <v>134</v>
      </c>
      <c r="E134" s="25" t="s">
        <v>17</v>
      </c>
      <c r="F134" s="25" t="s">
        <v>17</v>
      </c>
      <c r="G134" s="25" t="s">
        <v>17</v>
      </c>
      <c r="H134" s="17">
        <v>57696</v>
      </c>
      <c r="I134" s="17">
        <f>38200+19496</f>
        <v>57696</v>
      </c>
      <c r="J134" s="27" t="s">
        <v>17</v>
      </c>
      <c r="K134" s="27" t="s">
        <v>17</v>
      </c>
      <c r="L134" s="27" t="s">
        <v>17</v>
      </c>
    </row>
    <row r="135" spans="1:12" x14ac:dyDescent="0.3">
      <c r="A135" s="54">
        <v>34</v>
      </c>
      <c r="B135" s="15"/>
      <c r="C135" s="15"/>
      <c r="D135" s="55" t="s">
        <v>135</v>
      </c>
      <c r="E135" s="25" t="s">
        <v>17</v>
      </c>
      <c r="F135" s="25" t="s">
        <v>17</v>
      </c>
      <c r="G135" s="25" t="s">
        <v>17</v>
      </c>
      <c r="H135" s="25" t="s">
        <v>17</v>
      </c>
      <c r="I135" s="17">
        <f>3524+2476</f>
        <v>6000</v>
      </c>
      <c r="J135" s="17">
        <f>18100+18000</f>
        <v>36100</v>
      </c>
      <c r="K135" s="17">
        <v>27456</v>
      </c>
      <c r="L135" s="17">
        <v>18647</v>
      </c>
    </row>
    <row r="136" spans="1:12" x14ac:dyDescent="0.3">
      <c r="A136" s="54">
        <v>35</v>
      </c>
      <c r="B136" s="15"/>
      <c r="C136" s="15"/>
      <c r="D136" s="55" t="s">
        <v>136</v>
      </c>
      <c r="E136" s="25" t="s">
        <v>17</v>
      </c>
      <c r="F136" s="25" t="s">
        <v>17</v>
      </c>
      <c r="G136" s="25" t="s">
        <v>17</v>
      </c>
      <c r="H136" s="25" t="s">
        <v>17</v>
      </c>
      <c r="I136" s="17">
        <f>867+651</f>
        <v>1518</v>
      </c>
      <c r="J136" s="17">
        <f>5841+3196</f>
        <v>9037</v>
      </c>
      <c r="K136" s="17">
        <v>7205</v>
      </c>
      <c r="L136" s="17">
        <v>3382</v>
      </c>
    </row>
    <row r="137" spans="1:12" x14ac:dyDescent="0.3">
      <c r="A137" s="54">
        <v>36</v>
      </c>
      <c r="B137" s="15"/>
      <c r="C137" s="15"/>
      <c r="D137" s="55" t="s">
        <v>137</v>
      </c>
      <c r="E137" s="25" t="s">
        <v>17</v>
      </c>
      <c r="F137" s="25" t="s">
        <v>17</v>
      </c>
      <c r="G137" s="25" t="s">
        <v>17</v>
      </c>
      <c r="H137" s="25" t="s">
        <v>17</v>
      </c>
      <c r="I137" s="17">
        <f>38</f>
        <v>38</v>
      </c>
      <c r="J137" s="17">
        <f>518+501</f>
        <v>1019</v>
      </c>
      <c r="K137" s="17">
        <v>2589</v>
      </c>
      <c r="L137" s="17">
        <v>278</v>
      </c>
    </row>
    <row r="138" spans="1:12" x14ac:dyDescent="0.3">
      <c r="A138" s="54">
        <v>37</v>
      </c>
      <c r="B138" s="15"/>
      <c r="C138" s="15"/>
      <c r="D138" s="55" t="s">
        <v>138</v>
      </c>
      <c r="E138" s="25" t="s">
        <v>17</v>
      </c>
      <c r="F138" s="25" t="s">
        <v>17</v>
      </c>
      <c r="G138" s="25" t="s">
        <v>17</v>
      </c>
      <c r="H138" s="25" t="s">
        <v>17</v>
      </c>
      <c r="I138" s="25" t="s">
        <v>17</v>
      </c>
      <c r="J138" s="17">
        <f>22156+11825</f>
        <v>33981</v>
      </c>
      <c r="K138" s="25">
        <v>832</v>
      </c>
      <c r="L138" s="17">
        <v>9186</v>
      </c>
    </row>
    <row r="139" spans="1:12" x14ac:dyDescent="0.3">
      <c r="A139" s="54">
        <v>38</v>
      </c>
      <c r="B139" s="15"/>
      <c r="C139" s="15"/>
      <c r="D139" s="55" t="s">
        <v>139</v>
      </c>
      <c r="E139" s="25" t="s">
        <v>17</v>
      </c>
      <c r="F139" s="25" t="s">
        <v>17</v>
      </c>
      <c r="G139" s="25" t="s">
        <v>17</v>
      </c>
      <c r="H139" s="25" t="s">
        <v>17</v>
      </c>
      <c r="I139" s="25" t="s">
        <v>17</v>
      </c>
      <c r="J139" s="17">
        <f>2008+2101</f>
        <v>4109</v>
      </c>
      <c r="K139" s="27" t="s">
        <v>17</v>
      </c>
      <c r="L139" s="27" t="s">
        <v>17</v>
      </c>
    </row>
    <row r="140" spans="1:12" x14ac:dyDescent="0.3">
      <c r="A140" s="54">
        <v>39</v>
      </c>
      <c r="B140" s="15"/>
      <c r="C140" s="15"/>
      <c r="D140" s="55" t="s">
        <v>140</v>
      </c>
      <c r="E140" s="25" t="s">
        <v>17</v>
      </c>
      <c r="F140" s="25" t="s">
        <v>17</v>
      </c>
      <c r="G140" s="25" t="s">
        <v>17</v>
      </c>
      <c r="H140" s="25" t="s">
        <v>17</v>
      </c>
      <c r="I140" s="25" t="s">
        <v>17</v>
      </c>
      <c r="J140" s="17">
        <f>1231+1216</f>
        <v>2447</v>
      </c>
      <c r="K140" s="27" t="s">
        <v>17</v>
      </c>
      <c r="L140" s="27" t="s">
        <v>17</v>
      </c>
    </row>
    <row r="141" spans="1:12" x14ac:dyDescent="0.3">
      <c r="A141" s="54">
        <v>40</v>
      </c>
      <c r="B141" s="15"/>
      <c r="C141" s="15"/>
      <c r="D141" s="55" t="s">
        <v>141</v>
      </c>
      <c r="E141" s="25" t="s">
        <v>17</v>
      </c>
      <c r="F141" s="25" t="s">
        <v>17</v>
      </c>
      <c r="G141" s="25" t="s">
        <v>17</v>
      </c>
      <c r="H141" s="25" t="s">
        <v>17</v>
      </c>
      <c r="I141" s="17">
        <f>8964+3036</f>
        <v>12000</v>
      </c>
      <c r="J141" s="17">
        <f>198+200</f>
        <v>398</v>
      </c>
      <c r="K141" s="17">
        <v>15000</v>
      </c>
      <c r="L141" s="17">
        <v>245</v>
      </c>
    </row>
    <row r="142" spans="1:12" x14ac:dyDescent="0.3">
      <c r="A142" s="54">
        <v>41</v>
      </c>
      <c r="B142" s="15"/>
      <c r="C142" s="15"/>
      <c r="D142" s="55" t="s">
        <v>142</v>
      </c>
      <c r="E142" s="25" t="s">
        <v>17</v>
      </c>
      <c r="F142" s="25" t="s">
        <v>17</v>
      </c>
      <c r="G142" s="25" t="s">
        <v>17</v>
      </c>
      <c r="H142" s="25" t="s">
        <v>17</v>
      </c>
      <c r="I142" s="17">
        <f>14065+10666</f>
        <v>24731</v>
      </c>
      <c r="J142" s="17">
        <f>300+450</f>
        <v>750</v>
      </c>
      <c r="K142" s="17">
        <v>24000</v>
      </c>
      <c r="L142" s="17">
        <v>1481</v>
      </c>
    </row>
    <row r="143" spans="1:12" x14ac:dyDescent="0.3">
      <c r="A143" s="54">
        <v>42</v>
      </c>
      <c r="B143" s="15"/>
      <c r="C143" s="15"/>
      <c r="D143" s="55" t="s">
        <v>143</v>
      </c>
      <c r="E143" s="25" t="s">
        <v>17</v>
      </c>
      <c r="F143" s="25" t="s">
        <v>17</v>
      </c>
      <c r="G143" s="25" t="s">
        <v>17</v>
      </c>
      <c r="H143" s="25" t="s">
        <v>17</v>
      </c>
      <c r="I143" s="17">
        <f>49889+50190</f>
        <v>100079</v>
      </c>
      <c r="J143" s="17">
        <f>28147+27874</f>
        <v>56021</v>
      </c>
      <c r="K143" s="17">
        <v>14839</v>
      </c>
      <c r="L143" s="17">
        <v>6825</v>
      </c>
    </row>
    <row r="144" spans="1:12" x14ac:dyDescent="0.3">
      <c r="A144" s="54"/>
      <c r="B144" s="30"/>
      <c r="C144" s="31" t="s">
        <v>27</v>
      </c>
      <c r="D144" s="35"/>
      <c r="E144" s="32">
        <f>SUM(E101:E134)</f>
        <v>666776</v>
      </c>
      <c r="F144" s="32">
        <f>SUM(F101:F134)</f>
        <v>694704</v>
      </c>
      <c r="G144" s="32">
        <f>SUM(G101:G134)</f>
        <v>698494</v>
      </c>
      <c r="H144" s="32">
        <f>SUM(H101:H134)</f>
        <v>954730</v>
      </c>
      <c r="I144" s="32">
        <f>SUM(I101:I143)</f>
        <v>610703</v>
      </c>
      <c r="J144" s="32">
        <f>SUM(J101:J143)</f>
        <v>393107</v>
      </c>
      <c r="K144" s="32">
        <f>SUM(K101:K143)</f>
        <v>429040</v>
      </c>
      <c r="L144" s="32">
        <f>SUM(L101:L143)</f>
        <v>212202</v>
      </c>
    </row>
    <row r="145" spans="1:12" x14ac:dyDescent="0.3">
      <c r="A145" s="56" t="s">
        <v>144</v>
      </c>
      <c r="B145" s="21"/>
      <c r="C145" s="2" t="s">
        <v>145</v>
      </c>
      <c r="D145" s="33"/>
      <c r="E145" s="34"/>
      <c r="F145" s="17"/>
      <c r="G145" s="17"/>
      <c r="H145" s="17"/>
      <c r="I145" s="17"/>
      <c r="J145" s="17"/>
      <c r="K145" s="17"/>
      <c r="L145" s="17"/>
    </row>
    <row r="146" spans="1:12" x14ac:dyDescent="0.3">
      <c r="A146" s="54">
        <v>1</v>
      </c>
      <c r="B146" s="21"/>
      <c r="C146" s="2"/>
      <c r="D146" s="16" t="s">
        <v>146</v>
      </c>
      <c r="E146" s="17">
        <v>1616</v>
      </c>
      <c r="F146" s="17">
        <v>2105</v>
      </c>
      <c r="G146" s="17">
        <v>2697</v>
      </c>
      <c r="H146" s="17">
        <v>7939</v>
      </c>
      <c r="I146" s="17">
        <v>4749</v>
      </c>
      <c r="J146" s="17">
        <v>4132</v>
      </c>
      <c r="K146" s="17">
        <v>5305</v>
      </c>
      <c r="L146" s="17">
        <v>3844</v>
      </c>
    </row>
    <row r="147" spans="1:12" x14ac:dyDescent="0.3">
      <c r="A147" s="54">
        <v>2</v>
      </c>
      <c r="B147" s="21"/>
      <c r="C147" s="2"/>
      <c r="D147" s="16" t="s">
        <v>147</v>
      </c>
      <c r="E147" s="17">
        <v>3935</v>
      </c>
      <c r="F147" s="17">
        <v>3736</v>
      </c>
      <c r="G147" s="17">
        <v>8879</v>
      </c>
      <c r="H147" s="17">
        <v>9493</v>
      </c>
      <c r="I147" s="17">
        <v>4818</v>
      </c>
      <c r="J147" s="17">
        <v>4224</v>
      </c>
      <c r="K147" s="17">
        <v>4279</v>
      </c>
      <c r="L147" s="17">
        <v>8556</v>
      </c>
    </row>
    <row r="148" spans="1:12" x14ac:dyDescent="0.3">
      <c r="A148" s="54">
        <v>3</v>
      </c>
      <c r="B148" s="21"/>
      <c r="C148" s="2"/>
      <c r="D148" s="16" t="s">
        <v>148</v>
      </c>
      <c r="E148" s="17">
        <v>4343</v>
      </c>
      <c r="F148" s="17">
        <v>10069</v>
      </c>
      <c r="G148" s="17">
        <v>10144</v>
      </c>
      <c r="H148" s="17">
        <v>21878</v>
      </c>
      <c r="I148" s="17">
        <v>12259</v>
      </c>
      <c r="J148" s="17">
        <v>3883</v>
      </c>
      <c r="K148" s="17">
        <v>16406</v>
      </c>
      <c r="L148" s="17">
        <v>3603</v>
      </c>
    </row>
    <row r="149" spans="1:12" x14ac:dyDescent="0.3">
      <c r="A149" s="54">
        <v>4</v>
      </c>
      <c r="B149" s="21"/>
      <c r="C149" s="2"/>
      <c r="D149" s="16" t="s">
        <v>149</v>
      </c>
      <c r="E149" s="17">
        <v>20244</v>
      </c>
      <c r="F149" s="17">
        <v>25418</v>
      </c>
      <c r="G149" s="17">
        <v>30044</v>
      </c>
      <c r="H149" s="17">
        <v>18446</v>
      </c>
      <c r="I149" s="17">
        <v>26930</v>
      </c>
      <c r="J149" s="17">
        <v>91</v>
      </c>
      <c r="K149" s="17">
        <v>6135</v>
      </c>
      <c r="L149" s="17">
        <v>176</v>
      </c>
    </row>
    <row r="150" spans="1:12" x14ac:dyDescent="0.3">
      <c r="A150" s="54">
        <v>5</v>
      </c>
      <c r="B150" s="21"/>
      <c r="C150" s="2"/>
      <c r="D150" s="16" t="s">
        <v>150</v>
      </c>
      <c r="E150" s="17">
        <v>30663</v>
      </c>
      <c r="F150" s="17">
        <v>27606</v>
      </c>
      <c r="G150" s="17">
        <v>27266</v>
      </c>
      <c r="H150" s="17">
        <v>27390</v>
      </c>
      <c r="I150" s="17">
        <v>29472</v>
      </c>
      <c r="J150" s="17">
        <v>290</v>
      </c>
      <c r="K150" s="17">
        <v>40088</v>
      </c>
      <c r="L150" s="17">
        <v>40</v>
      </c>
    </row>
    <row r="151" spans="1:12" x14ac:dyDescent="0.3">
      <c r="A151" s="54">
        <v>6</v>
      </c>
      <c r="B151" s="21"/>
      <c r="C151" s="2"/>
      <c r="D151" s="16" t="s">
        <v>151</v>
      </c>
      <c r="E151" s="17">
        <v>2917</v>
      </c>
      <c r="F151" s="17">
        <v>3279</v>
      </c>
      <c r="G151" s="17">
        <v>4798</v>
      </c>
      <c r="H151" s="17">
        <v>2154</v>
      </c>
      <c r="I151" s="17">
        <v>655</v>
      </c>
      <c r="J151" s="17">
        <v>67</v>
      </c>
      <c r="K151" s="17">
        <v>810</v>
      </c>
      <c r="L151" s="17">
        <v>94</v>
      </c>
    </row>
    <row r="152" spans="1:12" x14ac:dyDescent="0.3">
      <c r="A152" s="54">
        <v>7</v>
      </c>
      <c r="B152" s="21"/>
      <c r="C152" s="2"/>
      <c r="D152" s="16" t="s">
        <v>152</v>
      </c>
      <c r="E152" s="17">
        <v>2652</v>
      </c>
      <c r="F152" s="17">
        <v>3206</v>
      </c>
      <c r="G152" s="17">
        <v>7329</v>
      </c>
      <c r="H152" s="27" t="s">
        <v>17</v>
      </c>
      <c r="I152" s="27" t="s">
        <v>17</v>
      </c>
      <c r="J152" s="27" t="s">
        <v>17</v>
      </c>
      <c r="K152" s="27" t="s">
        <v>17</v>
      </c>
      <c r="L152" s="27" t="s">
        <v>17</v>
      </c>
    </row>
    <row r="153" spans="1:12" x14ac:dyDescent="0.3">
      <c r="A153" s="54">
        <v>8</v>
      </c>
      <c r="B153" s="21"/>
      <c r="C153" s="2"/>
      <c r="D153" s="16" t="s">
        <v>153</v>
      </c>
      <c r="E153" s="27" t="s">
        <v>17</v>
      </c>
      <c r="F153" s="27" t="s">
        <v>17</v>
      </c>
      <c r="G153" s="27" t="s">
        <v>17</v>
      </c>
      <c r="H153" s="17">
        <v>28926</v>
      </c>
      <c r="I153" s="17">
        <v>38311</v>
      </c>
      <c r="J153" s="17">
        <v>1068</v>
      </c>
      <c r="K153" s="17">
        <v>59895</v>
      </c>
      <c r="L153" s="17">
        <v>832</v>
      </c>
    </row>
    <row r="154" spans="1:12" x14ac:dyDescent="0.3">
      <c r="A154" s="54">
        <v>9</v>
      </c>
      <c r="B154" s="21"/>
      <c r="C154" s="2"/>
      <c r="D154" s="16" t="s">
        <v>154</v>
      </c>
      <c r="E154" s="17">
        <v>853</v>
      </c>
      <c r="F154" s="17">
        <v>1161</v>
      </c>
      <c r="G154" s="17">
        <v>2176</v>
      </c>
      <c r="H154" s="17">
        <v>1821</v>
      </c>
      <c r="I154" s="27" t="s">
        <v>17</v>
      </c>
      <c r="J154" s="27" t="s">
        <v>17</v>
      </c>
      <c r="K154" s="27" t="s">
        <v>17</v>
      </c>
      <c r="L154" s="27" t="s">
        <v>17</v>
      </c>
    </row>
    <row r="155" spans="1:12" x14ac:dyDescent="0.3">
      <c r="A155" s="54">
        <v>10</v>
      </c>
      <c r="B155" s="21"/>
      <c r="C155" s="2"/>
      <c r="D155" s="57" t="s">
        <v>155</v>
      </c>
      <c r="E155" s="17">
        <v>6110</v>
      </c>
      <c r="F155" s="17">
        <v>5984</v>
      </c>
      <c r="G155" s="17">
        <v>2807</v>
      </c>
      <c r="H155" s="17">
        <v>5340</v>
      </c>
      <c r="I155" s="17">
        <v>2683</v>
      </c>
      <c r="J155" s="17">
        <v>53</v>
      </c>
      <c r="K155" s="17">
        <v>3827</v>
      </c>
      <c r="L155" s="17">
        <v>84</v>
      </c>
    </row>
    <row r="156" spans="1:12" x14ac:dyDescent="0.3">
      <c r="A156" s="54">
        <v>11</v>
      </c>
      <c r="B156" s="21"/>
      <c r="C156" s="2"/>
      <c r="D156" s="16" t="s">
        <v>156</v>
      </c>
      <c r="E156" s="17">
        <v>2309</v>
      </c>
      <c r="F156" s="17">
        <v>2623</v>
      </c>
      <c r="G156" s="17">
        <v>5293</v>
      </c>
      <c r="H156" s="27" t="s">
        <v>17</v>
      </c>
      <c r="I156" s="27" t="s">
        <v>17</v>
      </c>
      <c r="J156" s="27" t="s">
        <v>17</v>
      </c>
      <c r="K156" s="27" t="s">
        <v>17</v>
      </c>
      <c r="L156" s="27" t="s">
        <v>17</v>
      </c>
    </row>
    <row r="157" spans="1:12" x14ac:dyDescent="0.3">
      <c r="A157" s="54">
        <v>12</v>
      </c>
      <c r="B157" s="21"/>
      <c r="C157" s="2"/>
      <c r="D157" s="16" t="s">
        <v>157</v>
      </c>
      <c r="E157" s="27" t="s">
        <v>17</v>
      </c>
      <c r="F157" s="27" t="s">
        <v>17</v>
      </c>
      <c r="G157" s="27" t="s">
        <v>17</v>
      </c>
      <c r="H157" s="17">
        <v>12566</v>
      </c>
      <c r="I157" s="17">
        <v>34040</v>
      </c>
      <c r="J157" s="17">
        <v>2706</v>
      </c>
      <c r="K157" s="17">
        <v>4724</v>
      </c>
      <c r="L157" s="17">
        <v>1471</v>
      </c>
    </row>
    <row r="158" spans="1:12" x14ac:dyDescent="0.3">
      <c r="A158" s="54">
        <v>13</v>
      </c>
      <c r="B158" s="21"/>
      <c r="C158" s="2"/>
      <c r="D158" s="16" t="s">
        <v>158</v>
      </c>
      <c r="E158" s="17">
        <v>2075</v>
      </c>
      <c r="F158" s="17">
        <v>2553</v>
      </c>
      <c r="G158" s="17">
        <v>8771</v>
      </c>
      <c r="H158" s="17">
        <v>5696</v>
      </c>
      <c r="I158" s="17">
        <v>4289</v>
      </c>
      <c r="J158" s="17">
        <v>206</v>
      </c>
      <c r="K158" s="17">
        <v>13155</v>
      </c>
      <c r="L158" s="17">
        <v>164</v>
      </c>
    </row>
    <row r="159" spans="1:12" x14ac:dyDescent="0.3">
      <c r="A159" s="54">
        <v>14</v>
      </c>
      <c r="B159" s="21"/>
      <c r="C159" s="2"/>
      <c r="D159" s="16" t="s">
        <v>159</v>
      </c>
      <c r="E159" s="17">
        <v>11130</v>
      </c>
      <c r="F159" s="17">
        <v>3774</v>
      </c>
      <c r="G159" s="17">
        <v>17396</v>
      </c>
      <c r="H159" s="27" t="s">
        <v>17</v>
      </c>
      <c r="I159" s="27" t="s">
        <v>17</v>
      </c>
      <c r="J159" s="27" t="s">
        <v>17</v>
      </c>
      <c r="K159" s="27" t="s">
        <v>17</v>
      </c>
      <c r="L159" s="27" t="s">
        <v>17</v>
      </c>
    </row>
    <row r="160" spans="1:12" x14ac:dyDescent="0.3">
      <c r="A160" s="54">
        <v>15</v>
      </c>
      <c r="B160" s="21"/>
      <c r="C160" s="2"/>
      <c r="D160" s="16" t="s">
        <v>160</v>
      </c>
      <c r="E160" s="17">
        <v>7929</v>
      </c>
      <c r="F160" s="17">
        <v>14903</v>
      </c>
      <c r="G160" s="17">
        <v>12529</v>
      </c>
      <c r="H160" s="17">
        <v>5943</v>
      </c>
      <c r="I160" s="27" t="s">
        <v>17</v>
      </c>
      <c r="J160" s="27" t="s">
        <v>17</v>
      </c>
      <c r="K160" s="27" t="s">
        <v>17</v>
      </c>
      <c r="L160" s="27" t="s">
        <v>17</v>
      </c>
    </row>
    <row r="161" spans="1:12" x14ac:dyDescent="0.3">
      <c r="A161" s="54">
        <v>16</v>
      </c>
      <c r="B161" s="21"/>
      <c r="C161" s="2"/>
      <c r="D161" s="55" t="s">
        <v>161</v>
      </c>
      <c r="E161" s="27" t="s">
        <v>17</v>
      </c>
      <c r="F161" s="27" t="s">
        <v>17</v>
      </c>
      <c r="G161" s="27" t="s">
        <v>17</v>
      </c>
      <c r="H161" s="17">
        <v>3573</v>
      </c>
      <c r="I161" s="17">
        <v>1125</v>
      </c>
      <c r="J161" s="17">
        <v>535</v>
      </c>
      <c r="K161" s="17">
        <v>854</v>
      </c>
      <c r="L161" s="17">
        <v>340</v>
      </c>
    </row>
    <row r="162" spans="1:12" ht="13.5" customHeight="1" x14ac:dyDescent="0.3">
      <c r="A162" s="54">
        <v>17</v>
      </c>
      <c r="B162" s="21"/>
      <c r="C162" s="2"/>
      <c r="D162" s="55" t="s">
        <v>162</v>
      </c>
      <c r="E162" s="17">
        <v>3288</v>
      </c>
      <c r="F162" s="17">
        <v>11760</v>
      </c>
      <c r="G162" s="17">
        <v>7054</v>
      </c>
      <c r="H162" s="17">
        <v>3506</v>
      </c>
      <c r="I162" s="17">
        <v>2425</v>
      </c>
      <c r="J162" s="17">
        <v>381</v>
      </c>
      <c r="K162" s="27" t="s">
        <v>17</v>
      </c>
      <c r="L162" s="27" t="s">
        <v>17</v>
      </c>
    </row>
    <row r="163" spans="1:12" ht="13.5" customHeight="1" x14ac:dyDescent="0.3">
      <c r="A163" s="54">
        <v>18</v>
      </c>
      <c r="B163" s="21"/>
      <c r="C163" s="2"/>
      <c r="D163" s="55" t="s">
        <v>163</v>
      </c>
      <c r="E163" s="17">
        <v>8184</v>
      </c>
      <c r="F163" s="17">
        <v>9262</v>
      </c>
      <c r="G163" s="17">
        <v>12246</v>
      </c>
      <c r="H163" s="17">
        <v>3790</v>
      </c>
      <c r="I163" s="17">
        <v>5696</v>
      </c>
      <c r="J163" s="17">
        <v>1390</v>
      </c>
      <c r="K163" s="17">
        <v>8223</v>
      </c>
      <c r="L163" s="17">
        <v>2016</v>
      </c>
    </row>
    <row r="164" spans="1:12" ht="13.5" customHeight="1" x14ac:dyDescent="0.3">
      <c r="A164" s="54">
        <v>19</v>
      </c>
      <c r="B164" s="21"/>
      <c r="C164" s="2"/>
      <c r="D164" s="55" t="s">
        <v>164</v>
      </c>
      <c r="E164" s="17">
        <v>18870</v>
      </c>
      <c r="F164" s="27">
        <v>21137</v>
      </c>
      <c r="G164" s="17">
        <v>15329</v>
      </c>
      <c r="H164" s="17">
        <v>3558</v>
      </c>
      <c r="I164" s="17">
        <v>1868</v>
      </c>
      <c r="J164" s="17">
        <v>86</v>
      </c>
      <c r="K164" s="17">
        <v>1831</v>
      </c>
      <c r="L164" s="17">
        <v>68</v>
      </c>
    </row>
    <row r="165" spans="1:12" ht="13.5" customHeight="1" x14ac:dyDescent="0.3">
      <c r="A165" s="54">
        <v>21</v>
      </c>
      <c r="B165" s="21"/>
      <c r="C165" s="2"/>
      <c r="D165" s="55" t="s">
        <v>165</v>
      </c>
      <c r="E165" s="27" t="s">
        <v>17</v>
      </c>
      <c r="F165" s="27" t="s">
        <v>17</v>
      </c>
      <c r="G165" s="27" t="s">
        <v>17</v>
      </c>
      <c r="H165" s="17">
        <v>22664</v>
      </c>
      <c r="I165" s="17">
        <v>27732</v>
      </c>
      <c r="J165" s="17">
        <v>2520</v>
      </c>
      <c r="K165" s="17">
        <v>39517</v>
      </c>
      <c r="L165" s="17">
        <v>818</v>
      </c>
    </row>
    <row r="166" spans="1:12" ht="13.5" customHeight="1" x14ac:dyDescent="0.3">
      <c r="A166" s="54">
        <v>22</v>
      </c>
      <c r="B166" s="21"/>
      <c r="C166" s="2"/>
      <c r="D166" s="55" t="s">
        <v>166</v>
      </c>
      <c r="E166" s="17">
        <v>4817</v>
      </c>
      <c r="F166" s="27">
        <v>7671</v>
      </c>
      <c r="G166" s="17">
        <v>5756</v>
      </c>
      <c r="H166" s="17">
        <v>5192</v>
      </c>
      <c r="I166" s="17">
        <v>1094</v>
      </c>
      <c r="J166" s="17">
        <v>832</v>
      </c>
      <c r="K166" s="17">
        <v>2661</v>
      </c>
      <c r="L166" s="17">
        <v>1435</v>
      </c>
    </row>
    <row r="167" spans="1:12" ht="13.5" customHeight="1" x14ac:dyDescent="0.3">
      <c r="A167" s="54">
        <v>23</v>
      </c>
      <c r="B167" s="21"/>
      <c r="C167" s="2"/>
      <c r="D167" s="55" t="s">
        <v>167</v>
      </c>
      <c r="E167" s="27" t="s">
        <v>17</v>
      </c>
      <c r="F167" s="27" t="s">
        <v>17</v>
      </c>
      <c r="G167" s="27" t="s">
        <v>17</v>
      </c>
      <c r="H167" s="17">
        <v>36229</v>
      </c>
      <c r="I167" s="17">
        <v>13375</v>
      </c>
      <c r="J167" s="17">
        <v>322</v>
      </c>
      <c r="K167" s="17">
        <v>856</v>
      </c>
      <c r="L167" s="17">
        <v>780</v>
      </c>
    </row>
    <row r="168" spans="1:12" ht="13.5" customHeight="1" x14ac:dyDescent="0.3">
      <c r="A168" s="54">
        <v>24</v>
      </c>
      <c r="B168" s="21"/>
      <c r="C168" s="2"/>
      <c r="D168" s="55" t="s">
        <v>168</v>
      </c>
      <c r="E168" s="27" t="s">
        <v>17</v>
      </c>
      <c r="F168" s="27" t="s">
        <v>17</v>
      </c>
      <c r="G168" s="27" t="s">
        <v>17</v>
      </c>
      <c r="H168" s="17">
        <v>4914</v>
      </c>
      <c r="I168" s="27" t="s">
        <v>17</v>
      </c>
      <c r="J168" s="27" t="s">
        <v>17</v>
      </c>
      <c r="K168" s="27" t="s">
        <v>17</v>
      </c>
      <c r="L168" s="27" t="s">
        <v>17</v>
      </c>
    </row>
    <row r="169" spans="1:12" ht="13.5" customHeight="1" x14ac:dyDescent="0.3">
      <c r="A169" s="54">
        <v>25</v>
      </c>
      <c r="B169" s="21"/>
      <c r="C169" s="2"/>
      <c r="D169" s="55" t="s">
        <v>169</v>
      </c>
      <c r="E169" s="27" t="s">
        <v>17</v>
      </c>
      <c r="F169" s="27" t="s">
        <v>17</v>
      </c>
      <c r="G169" s="27" t="s">
        <v>17</v>
      </c>
      <c r="H169" s="17">
        <v>30041</v>
      </c>
      <c r="I169" s="17">
        <v>8454</v>
      </c>
      <c r="J169" s="17">
        <v>50</v>
      </c>
      <c r="K169" s="17">
        <v>1470</v>
      </c>
      <c r="L169" s="27" t="s">
        <v>17</v>
      </c>
    </row>
    <row r="170" spans="1:12" ht="13.5" customHeight="1" x14ac:dyDescent="0.3">
      <c r="A170" s="54">
        <v>26</v>
      </c>
      <c r="B170" s="21"/>
      <c r="C170" s="2"/>
      <c r="D170" s="55" t="s">
        <v>170</v>
      </c>
      <c r="E170" s="27" t="s">
        <v>17</v>
      </c>
      <c r="F170" s="27" t="s">
        <v>17</v>
      </c>
      <c r="G170" s="27" t="s">
        <v>17</v>
      </c>
      <c r="H170" s="17">
        <v>7416</v>
      </c>
      <c r="I170" s="17">
        <v>6433</v>
      </c>
      <c r="J170" s="17">
        <v>341</v>
      </c>
      <c r="K170" s="17">
        <v>2415</v>
      </c>
      <c r="L170" s="17">
        <v>233</v>
      </c>
    </row>
    <row r="171" spans="1:12" ht="13.5" customHeight="1" x14ac:dyDescent="0.3">
      <c r="A171" s="54">
        <v>27</v>
      </c>
      <c r="B171" s="21"/>
      <c r="C171" s="2"/>
      <c r="D171" s="55" t="s">
        <v>171</v>
      </c>
      <c r="E171" s="27" t="s">
        <v>17</v>
      </c>
      <c r="F171" s="27" t="s">
        <v>17</v>
      </c>
      <c r="G171" s="27" t="s">
        <v>17</v>
      </c>
      <c r="H171" s="17">
        <v>6658</v>
      </c>
      <c r="I171" s="17">
        <v>5844</v>
      </c>
      <c r="J171" s="17">
        <v>637</v>
      </c>
      <c r="K171" s="17">
        <v>5671</v>
      </c>
      <c r="L171" s="17">
        <v>727</v>
      </c>
    </row>
    <row r="172" spans="1:12" ht="13.5" customHeight="1" x14ac:dyDescent="0.3">
      <c r="A172" s="54">
        <v>28</v>
      </c>
      <c r="B172" s="21"/>
      <c r="C172" s="2"/>
      <c r="D172" s="55" t="s">
        <v>172</v>
      </c>
      <c r="E172" s="27" t="s">
        <v>17</v>
      </c>
      <c r="F172" s="27" t="s">
        <v>17</v>
      </c>
      <c r="G172" s="27" t="s">
        <v>17</v>
      </c>
      <c r="H172" s="17">
        <v>5393</v>
      </c>
      <c r="I172" s="17">
        <v>2086</v>
      </c>
      <c r="J172" s="17">
        <v>26</v>
      </c>
      <c r="K172" s="17">
        <v>4605</v>
      </c>
      <c r="L172" s="17">
        <v>108</v>
      </c>
    </row>
    <row r="173" spans="1:12" ht="13.5" customHeight="1" x14ac:dyDescent="0.3">
      <c r="A173" s="54">
        <v>29</v>
      </c>
      <c r="B173" s="21"/>
      <c r="C173" s="2"/>
      <c r="D173" s="55" t="s">
        <v>173</v>
      </c>
      <c r="E173" s="27" t="s">
        <v>17</v>
      </c>
      <c r="F173" s="27" t="s">
        <v>17</v>
      </c>
      <c r="G173" s="27" t="s">
        <v>17</v>
      </c>
      <c r="H173" s="27" t="s">
        <v>17</v>
      </c>
      <c r="I173" s="17">
        <v>737</v>
      </c>
      <c r="J173" s="17">
        <v>173</v>
      </c>
      <c r="K173" s="17">
        <v>503</v>
      </c>
      <c r="L173" s="17">
        <v>163</v>
      </c>
    </row>
    <row r="174" spans="1:12" ht="13.5" customHeight="1" x14ac:dyDescent="0.3">
      <c r="A174" s="54">
        <v>30</v>
      </c>
      <c r="B174" s="21"/>
      <c r="C174" s="2"/>
      <c r="D174" s="55" t="s">
        <v>174</v>
      </c>
      <c r="E174" s="27" t="s">
        <v>17</v>
      </c>
      <c r="F174" s="27" t="s">
        <v>17</v>
      </c>
      <c r="G174" s="27" t="s">
        <v>17</v>
      </c>
      <c r="H174" s="27" t="s">
        <v>17</v>
      </c>
      <c r="I174" s="17">
        <v>3208</v>
      </c>
      <c r="J174" s="17">
        <v>2665</v>
      </c>
      <c r="K174" s="17">
        <v>2227</v>
      </c>
      <c r="L174" s="17">
        <v>3441</v>
      </c>
    </row>
    <row r="175" spans="1:12" ht="13.5" customHeight="1" x14ac:dyDescent="0.3">
      <c r="A175" s="54">
        <v>31</v>
      </c>
      <c r="B175" s="21"/>
      <c r="C175" s="2"/>
      <c r="D175" s="55" t="s">
        <v>175</v>
      </c>
      <c r="E175" s="27" t="s">
        <v>17</v>
      </c>
      <c r="F175" s="27" t="s">
        <v>17</v>
      </c>
      <c r="G175" s="27" t="s">
        <v>17</v>
      </c>
      <c r="H175" s="27" t="s">
        <v>17</v>
      </c>
      <c r="I175" s="27">
        <v>18081</v>
      </c>
      <c r="J175" s="27" t="s">
        <v>17</v>
      </c>
      <c r="K175" s="27">
        <v>22518</v>
      </c>
      <c r="L175" s="27" t="s">
        <v>17</v>
      </c>
    </row>
    <row r="176" spans="1:12" ht="13.5" customHeight="1" x14ac:dyDescent="0.3">
      <c r="A176" s="54">
        <v>32</v>
      </c>
      <c r="B176" s="21"/>
      <c r="C176" s="2"/>
      <c r="D176" s="55" t="s">
        <v>176</v>
      </c>
      <c r="E176" s="27" t="s">
        <v>17</v>
      </c>
      <c r="F176" s="27" t="s">
        <v>17</v>
      </c>
      <c r="G176" s="27" t="s">
        <v>17</v>
      </c>
      <c r="H176" s="27" t="s">
        <v>17</v>
      </c>
      <c r="I176" s="27">
        <v>5313</v>
      </c>
      <c r="J176" s="17">
        <v>1013</v>
      </c>
      <c r="K176" s="27">
        <v>4392</v>
      </c>
      <c r="L176" s="17">
        <v>24</v>
      </c>
    </row>
    <row r="177" spans="1:12" ht="13.5" customHeight="1" x14ac:dyDescent="0.3">
      <c r="A177" s="54">
        <v>33</v>
      </c>
      <c r="B177" s="21"/>
      <c r="C177" s="2"/>
      <c r="D177" s="55" t="s">
        <v>177</v>
      </c>
      <c r="E177" s="27" t="s">
        <v>17</v>
      </c>
      <c r="F177" s="27" t="s">
        <v>17</v>
      </c>
      <c r="G177" s="27" t="s">
        <v>17</v>
      </c>
      <c r="H177" s="27" t="s">
        <v>17</v>
      </c>
      <c r="I177" s="27">
        <v>12408</v>
      </c>
      <c r="J177" s="17">
        <v>11</v>
      </c>
      <c r="K177" s="27" t="s">
        <v>17</v>
      </c>
      <c r="L177" s="27" t="s">
        <v>17</v>
      </c>
    </row>
    <row r="178" spans="1:12" ht="13.5" customHeight="1" x14ac:dyDescent="0.3">
      <c r="A178" s="54">
        <v>34</v>
      </c>
      <c r="B178" s="21"/>
      <c r="C178" s="2"/>
      <c r="D178" s="55" t="s">
        <v>178</v>
      </c>
      <c r="E178" s="27" t="s">
        <v>17</v>
      </c>
      <c r="F178" s="27" t="s">
        <v>17</v>
      </c>
      <c r="G178" s="27" t="s">
        <v>17</v>
      </c>
      <c r="H178" s="27" t="s">
        <v>17</v>
      </c>
      <c r="I178" s="27">
        <v>4929</v>
      </c>
      <c r="J178" s="17">
        <v>93</v>
      </c>
      <c r="K178" s="27">
        <v>6128</v>
      </c>
      <c r="L178" s="17">
        <v>194</v>
      </c>
    </row>
    <row r="179" spans="1:12" ht="13.5" customHeight="1" x14ac:dyDescent="0.3">
      <c r="A179" s="54">
        <v>35</v>
      </c>
      <c r="B179" s="21"/>
      <c r="C179" s="2"/>
      <c r="D179" s="55" t="s">
        <v>179</v>
      </c>
      <c r="E179" s="27" t="s">
        <v>17</v>
      </c>
      <c r="F179" s="27" t="s">
        <v>17</v>
      </c>
      <c r="G179" s="27" t="s">
        <v>17</v>
      </c>
      <c r="H179" s="27" t="s">
        <v>17</v>
      </c>
      <c r="I179" s="27">
        <v>2583</v>
      </c>
      <c r="J179" s="17">
        <v>116</v>
      </c>
      <c r="K179" s="27">
        <v>4186</v>
      </c>
      <c r="L179" s="17">
        <v>59</v>
      </c>
    </row>
    <row r="180" spans="1:12" x14ac:dyDescent="0.3">
      <c r="A180" s="56"/>
      <c r="B180" s="37"/>
      <c r="C180" s="31" t="s">
        <v>27</v>
      </c>
      <c r="D180" s="58"/>
      <c r="E180" s="32">
        <f>SUM(E146:E172)</f>
        <v>131935</v>
      </c>
      <c r="F180" s="32">
        <f>SUM(F146:F172)</f>
        <v>156247</v>
      </c>
      <c r="G180" s="32">
        <f>SUM(G146:G172)</f>
        <v>180514</v>
      </c>
      <c r="H180" s="32">
        <f>SUM(H146:H172)</f>
        <v>280526</v>
      </c>
      <c r="I180" s="32">
        <f>SUM(I146:I179)</f>
        <v>281597</v>
      </c>
      <c r="J180" s="32">
        <f>SUM(J146:J179)</f>
        <v>27911</v>
      </c>
      <c r="K180" s="32">
        <f>SUM(K146:K179)</f>
        <v>262681</v>
      </c>
      <c r="L180" s="32">
        <f>SUM(L146:L179)</f>
        <v>29270</v>
      </c>
    </row>
    <row r="181" spans="1:12" x14ac:dyDescent="0.3">
      <c r="A181" s="56" t="s">
        <v>180</v>
      </c>
      <c r="B181" s="21"/>
      <c r="C181" s="2"/>
      <c r="D181" s="33" t="s">
        <v>181</v>
      </c>
      <c r="E181" s="34"/>
      <c r="F181" s="17"/>
      <c r="G181" s="17"/>
      <c r="H181" s="17"/>
      <c r="I181" s="17"/>
      <c r="J181" s="17"/>
      <c r="K181" s="17"/>
      <c r="L181" s="17"/>
    </row>
    <row r="182" spans="1:12" x14ac:dyDescent="0.3">
      <c r="A182" s="54">
        <v>1</v>
      </c>
      <c r="B182" s="21"/>
      <c r="C182" s="2"/>
      <c r="D182" s="16" t="s">
        <v>182</v>
      </c>
      <c r="E182" s="17">
        <v>3123205</v>
      </c>
      <c r="F182" s="17">
        <v>3179617</v>
      </c>
      <c r="G182" s="17">
        <v>3524335</v>
      </c>
      <c r="H182" s="17">
        <v>3497825</v>
      </c>
      <c r="I182" s="17">
        <f>800726+690129</f>
        <v>1490855</v>
      </c>
      <c r="J182" s="17">
        <f>901966+943001</f>
        <v>1844967</v>
      </c>
      <c r="K182" s="17">
        <f>614071+675535</f>
        <v>1289606</v>
      </c>
      <c r="L182" s="17">
        <f>735724+771796</f>
        <v>1507520</v>
      </c>
    </row>
    <row r="183" spans="1:12" x14ac:dyDescent="0.3">
      <c r="A183" s="54">
        <v>2</v>
      </c>
      <c r="B183" s="21"/>
      <c r="C183" s="2"/>
      <c r="D183" s="16" t="s">
        <v>183</v>
      </c>
      <c r="E183" s="17">
        <v>735634</v>
      </c>
      <c r="F183" s="17">
        <v>650412</v>
      </c>
      <c r="G183" s="17">
        <v>687916</v>
      </c>
      <c r="H183" s="17">
        <v>947393</v>
      </c>
      <c r="I183" s="17">
        <f>256398+236241</f>
        <v>492639</v>
      </c>
      <c r="J183" s="17">
        <f>194965+280078</f>
        <v>475043</v>
      </c>
      <c r="K183" s="17">
        <f>226532+248684</f>
        <v>475216</v>
      </c>
      <c r="L183" s="17">
        <f>211999+291508</f>
        <v>503507</v>
      </c>
    </row>
    <row r="184" spans="1:12" x14ac:dyDescent="0.3">
      <c r="A184" s="54">
        <v>3</v>
      </c>
      <c r="B184" s="21"/>
      <c r="C184" s="2"/>
      <c r="D184" s="16" t="s">
        <v>184</v>
      </c>
      <c r="E184" s="17">
        <v>121517</v>
      </c>
      <c r="F184" s="17">
        <v>64088</v>
      </c>
      <c r="G184" s="17">
        <v>37896</v>
      </c>
      <c r="H184" s="17">
        <v>18149</v>
      </c>
      <c r="I184" s="27" t="s">
        <v>17</v>
      </c>
      <c r="J184" s="27" t="s">
        <v>17</v>
      </c>
      <c r="K184" s="27" t="s">
        <v>17</v>
      </c>
      <c r="L184" s="27" t="s">
        <v>17</v>
      </c>
    </row>
    <row r="185" spans="1:12" x14ac:dyDescent="0.3">
      <c r="A185" s="54">
        <v>4</v>
      </c>
      <c r="B185" s="14"/>
      <c r="C185" s="15"/>
      <c r="D185" s="16" t="s">
        <v>185</v>
      </c>
      <c r="E185" s="17">
        <v>463196</v>
      </c>
      <c r="F185" s="17">
        <v>523905</v>
      </c>
      <c r="G185" s="17">
        <v>570055</v>
      </c>
      <c r="H185" s="17">
        <v>468796</v>
      </c>
      <c r="I185" s="17">
        <f>316309+246881</f>
        <v>563190</v>
      </c>
      <c r="J185" s="17">
        <f>23960+28900</f>
        <v>52860</v>
      </c>
      <c r="K185" s="17">
        <f>331217+345750</f>
        <v>676967</v>
      </c>
      <c r="L185" s="17">
        <f>23029+26283</f>
        <v>49312</v>
      </c>
    </row>
    <row r="186" spans="1:12" x14ac:dyDescent="0.3">
      <c r="A186" s="54">
        <v>5</v>
      </c>
      <c r="B186" s="14"/>
      <c r="C186" s="15"/>
      <c r="D186" s="16" t="s">
        <v>186</v>
      </c>
      <c r="E186" s="17">
        <v>18461</v>
      </c>
      <c r="F186" s="17">
        <v>24852</v>
      </c>
      <c r="G186" s="17">
        <v>19787</v>
      </c>
      <c r="H186" s="17">
        <v>8991</v>
      </c>
      <c r="I186" s="17">
        <f>5577+3944</f>
        <v>9521</v>
      </c>
      <c r="J186" s="17">
        <f>696+747</f>
        <v>1443</v>
      </c>
      <c r="K186" s="17">
        <f>5855+1716</f>
        <v>7571</v>
      </c>
      <c r="L186" s="17">
        <f>517+526</f>
        <v>1043</v>
      </c>
    </row>
    <row r="187" spans="1:12" x14ac:dyDescent="0.3">
      <c r="A187" s="54">
        <v>6</v>
      </c>
      <c r="B187" s="14"/>
      <c r="C187" s="15"/>
      <c r="D187" s="16" t="s">
        <v>187</v>
      </c>
      <c r="E187" s="17">
        <v>114218</v>
      </c>
      <c r="F187" s="17">
        <v>97546</v>
      </c>
      <c r="G187" s="17">
        <v>93965</v>
      </c>
      <c r="H187" s="17">
        <v>93396</v>
      </c>
      <c r="I187" s="17">
        <f>20815+12821</f>
        <v>33636</v>
      </c>
      <c r="J187" s="17">
        <f>25776+31165</f>
        <v>56941</v>
      </c>
      <c r="K187" s="17">
        <f>10073+9732</f>
        <v>19805</v>
      </c>
      <c r="L187" s="17">
        <f>23706+28015</f>
        <v>51721</v>
      </c>
    </row>
    <row r="188" spans="1:12" x14ac:dyDescent="0.3">
      <c r="A188" s="54">
        <v>7</v>
      </c>
      <c r="B188" s="14"/>
      <c r="C188" s="15"/>
      <c r="D188" s="16" t="s">
        <v>188</v>
      </c>
      <c r="E188" s="17">
        <v>9180</v>
      </c>
      <c r="F188" s="17">
        <v>25559</v>
      </c>
      <c r="G188" s="17">
        <v>24045</v>
      </c>
      <c r="H188" s="17">
        <v>20356</v>
      </c>
      <c r="I188" s="17">
        <f>10444+11268</f>
        <v>21712</v>
      </c>
      <c r="J188" s="17">
        <f>439+429</f>
        <v>868</v>
      </c>
      <c r="K188" s="17">
        <f>10282+10185</f>
        <v>20467</v>
      </c>
      <c r="L188" s="17">
        <f>343+648</f>
        <v>991</v>
      </c>
    </row>
    <row r="189" spans="1:12" x14ac:dyDescent="0.3">
      <c r="A189" s="54">
        <v>8</v>
      </c>
      <c r="B189" s="14"/>
      <c r="C189" s="15"/>
      <c r="D189" s="16" t="s">
        <v>189</v>
      </c>
      <c r="E189" s="25" t="s">
        <v>17</v>
      </c>
      <c r="F189" s="25" t="s">
        <v>17</v>
      </c>
      <c r="G189" s="25" t="s">
        <v>17</v>
      </c>
      <c r="H189" s="27" t="s">
        <v>17</v>
      </c>
      <c r="I189" s="27" t="s">
        <v>17</v>
      </c>
      <c r="J189" s="27" t="s">
        <v>17</v>
      </c>
      <c r="K189" s="27" t="s">
        <v>17</v>
      </c>
      <c r="L189" s="27" t="s">
        <v>17</v>
      </c>
    </row>
    <row r="190" spans="1:12" x14ac:dyDescent="0.3">
      <c r="A190" s="54">
        <v>9</v>
      </c>
      <c r="B190" s="14"/>
      <c r="C190" s="15"/>
      <c r="D190" s="16" t="s">
        <v>190</v>
      </c>
      <c r="E190" s="25" t="s">
        <v>17</v>
      </c>
      <c r="F190" s="25" t="s">
        <v>17</v>
      </c>
      <c r="G190" s="25" t="s">
        <v>17</v>
      </c>
      <c r="H190" s="27" t="s">
        <v>17</v>
      </c>
      <c r="I190" s="27" t="s">
        <v>17</v>
      </c>
      <c r="J190" s="27" t="s">
        <v>17</v>
      </c>
      <c r="K190" s="27" t="s">
        <v>17</v>
      </c>
      <c r="L190" s="27" t="s">
        <v>17</v>
      </c>
    </row>
    <row r="191" spans="1:12" x14ac:dyDescent="0.3">
      <c r="A191" s="54">
        <v>10</v>
      </c>
      <c r="B191" s="14"/>
      <c r="C191" s="15"/>
      <c r="D191" s="16" t="s">
        <v>191</v>
      </c>
      <c r="E191" s="17">
        <v>4627</v>
      </c>
      <c r="F191" s="17">
        <v>4903</v>
      </c>
      <c r="G191" s="17">
        <v>5428</v>
      </c>
      <c r="H191" s="17">
        <v>4105</v>
      </c>
      <c r="I191" s="17">
        <f>2767+1476</f>
        <v>4243</v>
      </c>
      <c r="J191" s="17">
        <f>581+805</f>
        <v>1386</v>
      </c>
      <c r="K191" s="17">
        <f>2549+2407</f>
        <v>4956</v>
      </c>
      <c r="L191" s="17">
        <f>450+674</f>
        <v>1124</v>
      </c>
    </row>
    <row r="192" spans="1:12" x14ac:dyDescent="0.3">
      <c r="A192" s="54">
        <v>11</v>
      </c>
      <c r="B192" s="14"/>
      <c r="C192" s="15"/>
      <c r="D192" s="16" t="s">
        <v>192</v>
      </c>
      <c r="E192" s="17">
        <v>165158</v>
      </c>
      <c r="F192" s="17">
        <v>164366</v>
      </c>
      <c r="G192" s="17">
        <v>213009</v>
      </c>
      <c r="H192" s="17">
        <v>250153</v>
      </c>
      <c r="I192" s="17">
        <f>23381+25999</f>
        <v>49380</v>
      </c>
      <c r="J192" s="17">
        <f>263414+146213</f>
        <v>409627</v>
      </c>
      <c r="K192" s="17">
        <f>32511+35196</f>
        <v>67707</v>
      </c>
      <c r="L192" s="17">
        <f>90307+156429</f>
        <v>246736</v>
      </c>
    </row>
    <row r="193" spans="1:12" x14ac:dyDescent="0.3">
      <c r="A193" s="54">
        <v>12</v>
      </c>
      <c r="B193" s="14"/>
      <c r="C193" s="15"/>
      <c r="D193" s="16" t="s">
        <v>193</v>
      </c>
      <c r="E193" s="17">
        <v>8362</v>
      </c>
      <c r="F193" s="17">
        <v>7036</v>
      </c>
      <c r="G193" s="17">
        <v>6733</v>
      </c>
      <c r="H193" s="17">
        <v>5971</v>
      </c>
      <c r="I193" s="17">
        <f>1165+1119</f>
        <v>2284</v>
      </c>
      <c r="J193" s="17">
        <f>961+975</f>
        <v>1936</v>
      </c>
      <c r="K193" s="17">
        <f>718+895</f>
        <v>1613</v>
      </c>
      <c r="L193" s="17">
        <f>744+838</f>
        <v>1582</v>
      </c>
    </row>
    <row r="194" spans="1:12" x14ac:dyDescent="0.3">
      <c r="A194" s="54">
        <v>13</v>
      </c>
      <c r="B194" s="46"/>
      <c r="C194" s="47"/>
      <c r="D194" s="59" t="s">
        <v>194</v>
      </c>
      <c r="E194" s="60" t="s">
        <v>17</v>
      </c>
      <c r="F194" s="48">
        <v>22295</v>
      </c>
      <c r="G194" s="60">
        <v>20809</v>
      </c>
      <c r="H194" s="60">
        <v>18688</v>
      </c>
      <c r="I194" s="27" t="s">
        <v>17</v>
      </c>
      <c r="J194" s="60">
        <f>7310+13904</f>
        <v>21214</v>
      </c>
      <c r="K194" s="27" t="s">
        <v>17</v>
      </c>
      <c r="L194" s="60">
        <f>13014+26966</f>
        <v>39980</v>
      </c>
    </row>
    <row r="195" spans="1:12" x14ac:dyDescent="0.3">
      <c r="A195" s="54"/>
      <c r="B195" s="46"/>
      <c r="C195" s="31" t="s">
        <v>27</v>
      </c>
      <c r="D195" s="59"/>
      <c r="E195" s="61">
        <f t="shared" ref="E195:J195" si="12">SUM(E182:E194)</f>
        <v>4763558</v>
      </c>
      <c r="F195" s="61">
        <f t="shared" si="12"/>
        <v>4764579</v>
      </c>
      <c r="G195" s="61">
        <f t="shared" si="12"/>
        <v>5203978</v>
      </c>
      <c r="H195" s="61">
        <f t="shared" si="12"/>
        <v>5333823</v>
      </c>
      <c r="I195" s="32">
        <f t="shared" si="12"/>
        <v>2667460</v>
      </c>
      <c r="J195" s="61">
        <f t="shared" si="12"/>
        <v>2866285</v>
      </c>
      <c r="K195" s="32">
        <f t="shared" ref="K195:L195" si="13">SUM(K182:K194)</f>
        <v>2563908</v>
      </c>
      <c r="L195" s="61">
        <f t="shared" si="13"/>
        <v>2403516</v>
      </c>
    </row>
    <row r="196" spans="1:12" ht="25.5" customHeight="1" x14ac:dyDescent="0.3">
      <c r="A196" s="62"/>
      <c r="B196" s="46"/>
      <c r="C196" s="47"/>
      <c r="D196" s="63" t="s">
        <v>195</v>
      </c>
      <c r="E196" s="64">
        <f>E195+E180+E144+E99+E77+E68+E60+E35+E27</f>
        <v>10978515</v>
      </c>
      <c r="F196" s="64">
        <f>F195+F180+F144+F99+F77+F68+F60+F35+F27</f>
        <v>11468022</v>
      </c>
      <c r="G196" s="64">
        <f>G195+G180+G144+G99+G77+G68+G60+G35+G27</f>
        <v>14575325</v>
      </c>
      <c r="H196" s="64">
        <f>H195+H180+H144+H99+H77+H68+H60+H35+H27</f>
        <v>17853694</v>
      </c>
      <c r="I196" s="64">
        <f>(I27+I35+I60+I68+I77+I99+I144+I180+I195)</f>
        <v>8747224</v>
      </c>
      <c r="J196" s="64">
        <f>(J27+J35+J60+J68+J77+J99+J144+J180+J195)</f>
        <v>11640057</v>
      </c>
      <c r="K196" s="64">
        <f>(K27+K35+K60+K68+K77+K99+K144+K180+K195)</f>
        <v>7045775</v>
      </c>
      <c r="L196" s="64">
        <f>(L27+L35+L60+L68+L77+L99+L144+L180+L195)</f>
        <v>13235139</v>
      </c>
    </row>
    <row r="197" spans="1:12" x14ac:dyDescent="0.3">
      <c r="E197" s="65"/>
      <c r="F197" s="66"/>
    </row>
    <row r="198" spans="1:12" x14ac:dyDescent="0.3">
      <c r="A198" s="67" t="s">
        <v>196</v>
      </c>
      <c r="C198" s="68" t="s">
        <v>197</v>
      </c>
      <c r="D198" s="67" t="s">
        <v>198</v>
      </c>
      <c r="E198" s="38"/>
      <c r="F198" s="38"/>
      <c r="G198" s="38"/>
      <c r="H198" s="38"/>
      <c r="I198" s="38"/>
      <c r="J198" s="38"/>
    </row>
    <row r="199" spans="1:12" x14ac:dyDescent="0.3">
      <c r="A199" t="s">
        <v>199</v>
      </c>
      <c r="C199" s="68" t="s">
        <v>197</v>
      </c>
      <c r="D199" t="s">
        <v>200</v>
      </c>
      <c r="E199" s="69"/>
      <c r="F199" s="69"/>
      <c r="G199" s="69"/>
      <c r="H199" s="70"/>
      <c r="I199" s="70"/>
      <c r="J199" s="70"/>
    </row>
  </sheetData>
  <mergeCells count="9">
    <mergeCell ref="K6:L7"/>
    <mergeCell ref="I6:J7"/>
    <mergeCell ref="I98:J98"/>
    <mergeCell ref="A6:A7"/>
    <mergeCell ref="D6:D7"/>
    <mergeCell ref="E6:E7"/>
    <mergeCell ref="F6:F7"/>
    <mergeCell ref="G6:G7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2019-12-17T23:43:34Z</dcterms:created>
  <dcterms:modified xsi:type="dcterms:W3CDTF">2020-07-09T01:17:12Z</dcterms:modified>
</cp:coreProperties>
</file>