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64" activeTab="0"/>
  </bookViews>
  <sheets>
    <sheet name="tab8ok" sheetId="1" r:id="rId1"/>
    <sheet name="tab9ok" sheetId="2" r:id="rId2"/>
    <sheet name="tab10ok" sheetId="3" r:id="rId3"/>
    <sheet name="tab11ok" sheetId="4" r:id="rId4"/>
    <sheet name="tab12ok" sheetId="5" r:id="rId5"/>
  </sheets>
  <definedNames>
    <definedName name="_xlnm.Print_Area" localSheetId="2">'tab10ok'!$A$1:$N$65</definedName>
    <definedName name="_xlnm.Print_Area" localSheetId="3">'tab11ok'!$A$1:$I$25</definedName>
    <definedName name="_xlnm.Print_Area" localSheetId="4">'tab12ok'!$A$1:$K$27</definedName>
    <definedName name="_xlnm.Print_Area" localSheetId="0">'tab8ok'!$A$1:$L$201</definedName>
    <definedName name="_xlnm.Print_Area" localSheetId="1">'tab9ok'!$A$1:$J$25</definedName>
  </definedNames>
  <calcPr fullCalcOnLoad="1"/>
</workbook>
</file>

<file path=xl/sharedStrings.xml><?xml version="1.0" encoding="utf-8"?>
<sst xmlns="http://schemas.openxmlformats.org/spreadsheetml/2006/main" count="458" uniqueCount="256">
  <si>
    <t>NATIONALITY</t>
  </si>
  <si>
    <t>Hongkong</t>
  </si>
  <si>
    <t>TOTAL</t>
  </si>
  <si>
    <t>Luxemburg</t>
  </si>
  <si>
    <t>Swiss</t>
  </si>
  <si>
    <t>MAY</t>
  </si>
  <si>
    <t>ASEAN</t>
  </si>
  <si>
    <t>New Zealand</t>
  </si>
  <si>
    <t>AMERICA</t>
  </si>
  <si>
    <t>EUROPE</t>
  </si>
  <si>
    <t>JULY</t>
  </si>
  <si>
    <t>+/-</t>
  </si>
  <si>
    <t>NO</t>
  </si>
  <si>
    <t>MONTH</t>
  </si>
  <si>
    <t>GROWTH RATE</t>
  </si>
  <si>
    <t>APRIL</t>
  </si>
  <si>
    <t>MARCH</t>
  </si>
  <si>
    <t>JUNE</t>
  </si>
  <si>
    <t>AUGUST</t>
  </si>
  <si>
    <t>SEPTEMBER</t>
  </si>
  <si>
    <t>OCTOBER</t>
  </si>
  <si>
    <t>NOVEMBER</t>
  </si>
  <si>
    <t>DECEMBER</t>
  </si>
  <si>
    <t>TABEL 10.</t>
  </si>
  <si>
    <t>INTER NATIONAL</t>
  </si>
  <si>
    <t>SOURCE</t>
  </si>
  <si>
    <t>SUMBER</t>
  </si>
  <si>
    <t>NGURAH RAI AIRPORT AUTHORITY</t>
  </si>
  <si>
    <t>:</t>
  </si>
  <si>
    <t>PT (PERSERO) ANGKASA PURA  I</t>
  </si>
  <si>
    <t>JUMLAH PENUMPANG MELALUI PELABUHAN KETAPANG - GILIMANUK</t>
  </si>
  <si>
    <t>TABEL 11.</t>
  </si>
  <si>
    <t xml:space="preserve"> TOTAL</t>
  </si>
  <si>
    <t>TABLE  8.</t>
  </si>
  <si>
    <t>TABEL  8.</t>
  </si>
  <si>
    <t>TABEL  9.</t>
  </si>
  <si>
    <t>JANUARY</t>
  </si>
  <si>
    <t>FEBRUARY</t>
  </si>
  <si>
    <t>TABLE 10.</t>
  </si>
  <si>
    <t>CONTINUATION</t>
  </si>
  <si>
    <t>LANJUTAN (a)</t>
  </si>
  <si>
    <t>DOMESTIC</t>
  </si>
  <si>
    <t>LANJUTAN (b)</t>
  </si>
  <si>
    <t>BALI GOVERNMENT TRANSPORTATION OFFICE</t>
  </si>
  <si>
    <t>DINAS PERHUBUNGAN PROVINSI BALI</t>
  </si>
  <si>
    <t>TABLE 11.</t>
  </si>
  <si>
    <t>NO.</t>
  </si>
  <si>
    <t>I</t>
  </si>
  <si>
    <t xml:space="preserve">BALI REGIONAL OFFICE OF JUSTICE AND HUMAN RIGHT </t>
  </si>
  <si>
    <t>KANWIL DEP. KEHAKIMAN DAN HAM PROVINSI BALI</t>
  </si>
  <si>
    <t>II</t>
  </si>
  <si>
    <t>III</t>
  </si>
  <si>
    <t>IV</t>
  </si>
  <si>
    <t>V</t>
  </si>
  <si>
    <t>VI</t>
  </si>
  <si>
    <t xml:space="preserve">NUMBER OF PASSENGERS TO BALI VIA KETAPANG - GILIMANUK HARBOUR </t>
  </si>
  <si>
    <t>GROWTH    ( % )</t>
  </si>
  <si>
    <t>Contribution</t>
  </si>
  <si>
    <t>VII</t>
  </si>
  <si>
    <t>TABLE 12.</t>
  </si>
  <si>
    <t>TABEL 12.</t>
  </si>
  <si>
    <t>JUMLAH PENUMPANG MELALUI PELABUHAN LEMBAR - PADANG BAI</t>
  </si>
  <si>
    <t xml:space="preserve">NUMBER OF PASSENGERS TO BALI VIA LEMBAR - PADANG BAI HARBOUR </t>
  </si>
  <si>
    <t>TABLE 9.</t>
  </si>
  <si>
    <t>Indian</t>
  </si>
  <si>
    <t>Japanese</t>
  </si>
  <si>
    <t>South Korean</t>
  </si>
  <si>
    <t>Pakistani</t>
  </si>
  <si>
    <t>Bangladeshi</t>
  </si>
  <si>
    <t>Taiwanese</t>
  </si>
  <si>
    <t>Chinese</t>
  </si>
  <si>
    <t>Australian</t>
  </si>
  <si>
    <t>Bruneian</t>
  </si>
  <si>
    <t>Cambodian</t>
  </si>
  <si>
    <t>Laotian</t>
  </si>
  <si>
    <t>Malaysian</t>
  </si>
  <si>
    <t>Philipine</t>
  </si>
  <si>
    <t>Singaporean</t>
  </si>
  <si>
    <t>Thai</t>
  </si>
  <si>
    <t>Vietnamese</t>
  </si>
  <si>
    <t>American</t>
  </si>
  <si>
    <t>Argentinian</t>
  </si>
  <si>
    <t>Brazilian</t>
  </si>
  <si>
    <t>Canadian</t>
  </si>
  <si>
    <t>Mexican</t>
  </si>
  <si>
    <t>Austrian</t>
  </si>
  <si>
    <t>Belgian</t>
  </si>
  <si>
    <t>Dutch</t>
  </si>
  <si>
    <t>Danish</t>
  </si>
  <si>
    <t>British</t>
  </si>
  <si>
    <t>Italian</t>
  </si>
  <si>
    <t>German</t>
  </si>
  <si>
    <t>Norwegian</t>
  </si>
  <si>
    <t>Swedish</t>
  </si>
  <si>
    <t>Finnish</t>
  </si>
  <si>
    <t>Portuguese</t>
  </si>
  <si>
    <t>Russian</t>
  </si>
  <si>
    <t>Buthanese</t>
  </si>
  <si>
    <t>Fijian</t>
  </si>
  <si>
    <t>Kiribati</t>
  </si>
  <si>
    <t>Maldivian</t>
  </si>
  <si>
    <t>Mongolian</t>
  </si>
  <si>
    <t>Macau</t>
  </si>
  <si>
    <t>Maldova</t>
  </si>
  <si>
    <t>Nepalese</t>
  </si>
  <si>
    <t>Nauru</t>
  </si>
  <si>
    <t>Palau</t>
  </si>
  <si>
    <t>Papua Guinean</t>
  </si>
  <si>
    <t>Samoan</t>
  </si>
  <si>
    <t xml:space="preserve">East Solomon </t>
  </si>
  <si>
    <t>Tibet</t>
  </si>
  <si>
    <t>Tonga</t>
  </si>
  <si>
    <t>Timor Leste</t>
  </si>
  <si>
    <t>Vanuatuan</t>
  </si>
  <si>
    <t>Algerian</t>
  </si>
  <si>
    <t>Angolan</t>
  </si>
  <si>
    <t xml:space="preserve">South African </t>
  </si>
  <si>
    <t>Bokswanan</t>
  </si>
  <si>
    <t>Beninese</t>
  </si>
  <si>
    <t>Burundian</t>
  </si>
  <si>
    <t>Cameroonian</t>
  </si>
  <si>
    <t>Comoro</t>
  </si>
  <si>
    <t>Cape Verdean</t>
  </si>
  <si>
    <t>Congolese</t>
  </si>
  <si>
    <t>Ethiopian</t>
  </si>
  <si>
    <t>Eritrean</t>
  </si>
  <si>
    <t>Ghanaian</t>
  </si>
  <si>
    <t>Guinean</t>
  </si>
  <si>
    <t>Gambian</t>
  </si>
  <si>
    <t>Ivory Coast</t>
  </si>
  <si>
    <t>Kenyan</t>
  </si>
  <si>
    <t>Maurihan</t>
  </si>
  <si>
    <t>Malagasi</t>
  </si>
  <si>
    <t>Malawian</t>
  </si>
  <si>
    <t>Madagascan</t>
  </si>
  <si>
    <t>Maroko</t>
  </si>
  <si>
    <t>Mozambican</t>
  </si>
  <si>
    <t>Namibian</t>
  </si>
  <si>
    <t>Nigerian</t>
  </si>
  <si>
    <t>Rwandan</t>
  </si>
  <si>
    <t>Senegalese</t>
  </si>
  <si>
    <t>Seychellois</t>
  </si>
  <si>
    <t>Somali</t>
  </si>
  <si>
    <t>Sieera Leonian</t>
  </si>
  <si>
    <t>Swazi</t>
  </si>
  <si>
    <t>Tanzaniaan</t>
  </si>
  <si>
    <t>Tunisian</t>
  </si>
  <si>
    <t>Ugandan</t>
  </si>
  <si>
    <t>Zimbabwean</t>
  </si>
  <si>
    <t>Zambian</t>
  </si>
  <si>
    <t>Zairean</t>
  </si>
  <si>
    <t xml:space="preserve">TOTAL </t>
  </si>
  <si>
    <t>Bermuda</t>
  </si>
  <si>
    <t>Bahamian</t>
  </si>
  <si>
    <t>Barbadian</t>
  </si>
  <si>
    <t>Bolivian</t>
  </si>
  <si>
    <t>Costarican</t>
  </si>
  <si>
    <t>Cuban</t>
  </si>
  <si>
    <t>Chilean</t>
  </si>
  <si>
    <t>Dominican</t>
  </si>
  <si>
    <t>Savadorean</t>
  </si>
  <si>
    <t>Ecuadorean</t>
  </si>
  <si>
    <t>Guatemalan</t>
  </si>
  <si>
    <t>Guyanese</t>
  </si>
  <si>
    <t>Honduran</t>
  </si>
  <si>
    <t>Haitian</t>
  </si>
  <si>
    <t>Columbian</t>
  </si>
  <si>
    <t>Micronesia</t>
  </si>
  <si>
    <t>Nicaraguan</t>
  </si>
  <si>
    <t>Panamanian</t>
  </si>
  <si>
    <t>Paraguayan</t>
  </si>
  <si>
    <t>Peruuian</t>
  </si>
  <si>
    <t>Surinamese</t>
  </si>
  <si>
    <t>St. Lucian</t>
  </si>
  <si>
    <t>Tahiti</t>
  </si>
  <si>
    <t>Trinidadian</t>
  </si>
  <si>
    <t>Uruguayan</t>
  </si>
  <si>
    <t>Venezuelan</t>
  </si>
  <si>
    <t>Yamaika</t>
  </si>
  <si>
    <t>Armenian</t>
  </si>
  <si>
    <t>Andorran</t>
  </si>
  <si>
    <t>Azerbaijani</t>
  </si>
  <si>
    <t>Albanian</t>
  </si>
  <si>
    <t>Belarusian</t>
  </si>
  <si>
    <t>Bulgarian</t>
  </si>
  <si>
    <t>Bosnian</t>
  </si>
  <si>
    <t>Croatian</t>
  </si>
  <si>
    <t>Czech</t>
  </si>
  <si>
    <t>Cheko</t>
  </si>
  <si>
    <t>Estonian</t>
  </si>
  <si>
    <t>Georgian</t>
  </si>
  <si>
    <t>Hungarian</t>
  </si>
  <si>
    <t>Islandia</t>
  </si>
  <si>
    <t>Irish</t>
  </si>
  <si>
    <t>Kazakh</t>
  </si>
  <si>
    <t>Kyrgyztan</t>
  </si>
  <si>
    <t>Lithuanian</t>
  </si>
  <si>
    <t>Leichsteintein</t>
  </si>
  <si>
    <t>Latvian</t>
  </si>
  <si>
    <t>Maltese</t>
  </si>
  <si>
    <t>Macedonian</t>
  </si>
  <si>
    <t>Monacon</t>
  </si>
  <si>
    <t>French</t>
  </si>
  <si>
    <t>Polish</t>
  </si>
  <si>
    <t>Rumania</t>
  </si>
  <si>
    <t>Scottish</t>
  </si>
  <si>
    <t>Slovenian</t>
  </si>
  <si>
    <t>Slouak</t>
  </si>
  <si>
    <t>Spanish</t>
  </si>
  <si>
    <t>San Marino</t>
  </si>
  <si>
    <t>Serbian</t>
  </si>
  <si>
    <t>Tajik</t>
  </si>
  <si>
    <t>Ukrainan</t>
  </si>
  <si>
    <t>Uzbek</t>
  </si>
  <si>
    <t>Yugoslav</t>
  </si>
  <si>
    <t>Greek</t>
  </si>
  <si>
    <t>Saudi Arabian</t>
  </si>
  <si>
    <t>Afghan</t>
  </si>
  <si>
    <t>Bahraini</t>
  </si>
  <si>
    <t>Cypriot</t>
  </si>
  <si>
    <t>Dubai</t>
  </si>
  <si>
    <t>Iraqi</t>
  </si>
  <si>
    <t>Iranian</t>
  </si>
  <si>
    <t>Israel</t>
  </si>
  <si>
    <t>Kuwaiti</t>
  </si>
  <si>
    <t>Lebanese</t>
  </si>
  <si>
    <t>Liberian</t>
  </si>
  <si>
    <t>Libyan</t>
  </si>
  <si>
    <t>Egyption</t>
  </si>
  <si>
    <t>Omant</t>
  </si>
  <si>
    <t>Palestine</t>
  </si>
  <si>
    <t>Qatart</t>
  </si>
  <si>
    <t>Syrian</t>
  </si>
  <si>
    <t>Sudanese</t>
  </si>
  <si>
    <t>Turkish</t>
  </si>
  <si>
    <t>Emirati</t>
  </si>
  <si>
    <t>Yaman</t>
  </si>
  <si>
    <t>Yordania</t>
  </si>
  <si>
    <t>ASIA PACIFIC EXCLUDING ASEAN</t>
  </si>
  <si>
    <t>AFRICA</t>
  </si>
  <si>
    <t>MIDDLE EAST</t>
  </si>
  <si>
    <t>Sri Lankan</t>
  </si>
  <si>
    <t>GRAND TOTAL</t>
  </si>
  <si>
    <t>OTHER NATIONALITIES</t>
  </si>
  <si>
    <t>-</t>
  </si>
  <si>
    <t>Myanmar</t>
  </si>
  <si>
    <t>DIRECT FOREIGN TOURIST ARRIVALS TO BALI BY NATIONALITY IN 2015 - 2019</t>
  </si>
  <si>
    <t>KUNJUNGAN LANGSUNG WISATAWAN MANCANEGARA KE BALI BERDASARKAN KEBANGSAAN TAHUN 2015 - 2019</t>
  </si>
  <si>
    <t>NUMBER OF PASSENGERS TO BALI VIA NGURAH RAI AIRPORT IN 2015 - 2019</t>
  </si>
  <si>
    <t>JUMLAH PENUMPANG MELALUI BANDARA NGURAH RAI TAHUN 2015 - 2019</t>
  </si>
  <si>
    <t>IN 2015 - 2019</t>
  </si>
  <si>
    <t>TAHUN 2015 - 2019</t>
  </si>
  <si>
    <t>NUMBER OF PASSENGERS TO BALI BY TYPE OF FLIGHT VIA NGURAH RAI AIRPORT IN 2015 - 2019</t>
  </si>
  <si>
    <t>JUMLAH PENUMPANG MENURUT KATAGORI PENERBANGAN MELALUI BANDARA NGURAH RAI TAHUN 2015 - 2019</t>
  </si>
  <si>
    <t>IN 2014 - 2019</t>
  </si>
  <si>
    <t>TAHUN 2014 - 2019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</si>
</sst>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;[Red]#,##0.00"/>
    <numFmt numFmtId="180" formatCode="0.000"/>
    <numFmt numFmtId="181" formatCode="[$-409]dddd\,\ mmmm\ dd\,\ yyyy"/>
    <numFmt numFmtId="182" formatCode="[$-409]h:mm:ss\ AM/PM"/>
    <numFmt numFmtId="183" formatCode="00000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_);_(* \(#,##0.0\);_(* &quot;-&quot;??_);_(@_)"/>
    <numFmt numFmtId="189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37" fontId="0" fillId="0" borderId="22" xfId="42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0" fillId="0" borderId="22" xfId="0" applyNumberForma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/>
    </xf>
    <xf numFmtId="37" fontId="0" fillId="0" borderId="14" xfId="42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14" xfId="44" applyNumberFormat="1" applyFont="1" applyBorder="1" applyAlignment="1">
      <alignment horizontal="right" vertical="center" wrapText="1"/>
    </xf>
    <xf numFmtId="2" fontId="0" fillId="0" borderId="0" xfId="44" applyNumberFormat="1" applyFont="1" applyBorder="1" applyAlignment="1">
      <alignment horizontal="right"/>
    </xf>
    <xf numFmtId="3" fontId="2" fillId="0" borderId="22" xfId="44" applyNumberFormat="1" applyFont="1" applyBorder="1" applyAlignment="1">
      <alignment horizontal="right" vertical="center"/>
    </xf>
    <xf numFmtId="3" fontId="0" fillId="0" borderId="0" xfId="44" applyNumberFormat="1" applyFont="1" applyAlignment="1">
      <alignment/>
    </xf>
    <xf numFmtId="43" fontId="0" fillId="0" borderId="0" xfId="44" applyFont="1" applyAlignment="1">
      <alignment/>
    </xf>
    <xf numFmtId="3" fontId="0" fillId="0" borderId="22" xfId="44" applyNumberFormat="1" applyFont="1" applyBorder="1" applyAlignment="1">
      <alignment horizontal="right"/>
    </xf>
    <xf numFmtId="2" fontId="0" fillId="0" borderId="22" xfId="44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22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37" fontId="2" fillId="0" borderId="20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0" fontId="2" fillId="0" borderId="22" xfId="0" applyNumberFormat="1" applyFont="1" applyBorder="1" applyAlignment="1">
      <alignment horizontal="right" vertical="center"/>
    </xf>
    <xf numFmtId="37" fontId="0" fillId="0" borderId="0" xfId="42" applyNumberFormat="1" applyFont="1" applyFill="1" applyBorder="1" applyAlignment="1">
      <alignment horizontal="right" vertical="center" wrapText="1"/>
    </xf>
    <xf numFmtId="37" fontId="0" fillId="0" borderId="0" xfId="0" applyNumberFormat="1" applyBorder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41" fontId="0" fillId="0" borderId="0" xfId="0" applyNumberFormat="1" applyAlignment="1">
      <alignment vertical="center" wrapText="1"/>
    </xf>
    <xf numFmtId="41" fontId="0" fillId="0" borderId="14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37" fontId="2" fillId="0" borderId="2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2" xfId="56" applyFont="1" applyBorder="1">
      <alignment/>
      <protection/>
    </xf>
    <xf numFmtId="0" fontId="0" fillId="0" borderId="20" xfId="56" applyFont="1" applyBorder="1">
      <alignment/>
      <protection/>
    </xf>
    <xf numFmtId="0" fontId="0" fillId="33" borderId="20" xfId="56" applyFont="1" applyFill="1" applyBorder="1">
      <alignment/>
      <protection/>
    </xf>
    <xf numFmtId="0" fontId="0" fillId="33" borderId="22" xfId="56" applyFont="1" applyFill="1" applyBorder="1">
      <alignment/>
      <protection/>
    </xf>
    <xf numFmtId="3" fontId="0" fillId="34" borderId="20" xfId="0" applyNumberFormat="1" applyFont="1" applyFill="1" applyBorder="1" applyAlignment="1">
      <alignment horizontal="right"/>
    </xf>
    <xf numFmtId="0" fontId="0" fillId="33" borderId="22" xfId="56" applyFont="1" applyFill="1" applyBorder="1" applyAlignment="1">
      <alignment vertical="center"/>
      <protection/>
    </xf>
    <xf numFmtId="0" fontId="0" fillId="33" borderId="20" xfId="56" applyFont="1" applyFill="1" applyBorder="1" applyAlignment="1">
      <alignment vertical="center"/>
      <protection/>
    </xf>
    <xf numFmtId="4" fontId="2" fillId="0" borderId="2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2" fillId="0" borderId="31" xfId="0" applyFont="1" applyBorder="1" applyAlignment="1" quotePrefix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3" fontId="0" fillId="34" borderId="22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right"/>
    </xf>
    <xf numFmtId="41" fontId="7" fillId="33" borderId="14" xfId="56" applyNumberFormat="1" applyFont="1" applyFill="1" applyBorder="1">
      <alignment/>
      <protection/>
    </xf>
    <xf numFmtId="41" fontId="7" fillId="33" borderId="20" xfId="56" applyNumberFormat="1" applyFont="1" applyFill="1" applyBorder="1">
      <alignment/>
      <protection/>
    </xf>
    <xf numFmtId="41" fontId="0" fillId="0" borderId="20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22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0" fillId="34" borderId="22" xfId="0" applyNumberFormat="1" applyFont="1" applyFill="1" applyBorder="1" applyAlignment="1">
      <alignment horizontal="right"/>
    </xf>
    <xf numFmtId="41" fontId="0" fillId="34" borderId="20" xfId="0" applyNumberFormat="1" applyFont="1" applyFill="1" applyBorder="1" applyAlignment="1">
      <alignment horizontal="right"/>
    </xf>
    <xf numFmtId="41" fontId="2" fillId="0" borderId="24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 wrapText="1"/>
    </xf>
    <xf numFmtId="4" fontId="0" fillId="34" borderId="18" xfId="0" applyNumberFormat="1" applyFont="1" applyFill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2" fontId="0" fillId="34" borderId="20" xfId="0" applyNumberFormat="1" applyFont="1" applyFill="1" applyBorder="1" applyAlignment="1">
      <alignment horizontal="right"/>
    </xf>
    <xf numFmtId="2" fontId="0" fillId="34" borderId="25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 quotePrefix="1">
      <alignment horizontal="right"/>
    </xf>
    <xf numFmtId="41" fontId="0" fillId="34" borderId="20" xfId="0" applyNumberFormat="1" applyFont="1" applyFill="1" applyBorder="1" applyAlignment="1" quotePrefix="1">
      <alignment horizontal="right"/>
    </xf>
    <xf numFmtId="4" fontId="0" fillId="0" borderId="20" xfId="0" applyNumberFormat="1" applyFont="1" applyBorder="1" applyAlignment="1" quotePrefix="1">
      <alignment horizontal="right"/>
    </xf>
    <xf numFmtId="4" fontId="2" fillId="0" borderId="14" xfId="0" applyNumberFormat="1" applyFont="1" applyBorder="1" applyAlignment="1">
      <alignment horizontal="right"/>
    </xf>
    <xf numFmtId="41" fontId="0" fillId="0" borderId="20" xfId="0" applyNumberFormat="1" applyFont="1" applyBorder="1" applyAlignment="1" quotePrefix="1">
      <alignment horizontal="right"/>
    </xf>
    <xf numFmtId="41" fontId="0" fillId="0" borderId="20" xfId="45" applyNumberFormat="1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justify" wrapText="1" shrinkToFit="1"/>
    </xf>
    <xf numFmtId="0" fontId="2" fillId="0" borderId="22" xfId="0" applyFont="1" applyBorder="1" applyAlignment="1">
      <alignment horizontal="center" vertical="justify" wrapText="1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pane ySplit="4" topLeftCell="A105" activePane="bottomLeft" state="frozen"/>
      <selection pane="topLeft" activeCell="A1" sqref="A1"/>
      <selection pane="bottomLeft" activeCell="J194" sqref="J194"/>
    </sheetView>
  </sheetViews>
  <sheetFormatPr defaultColWidth="9.140625" defaultRowHeight="12.75"/>
  <cols>
    <col min="1" max="1" width="9.28125" style="42" customWidth="1"/>
    <col min="2" max="2" width="21.28125" style="0" customWidth="1"/>
    <col min="3" max="4" width="12.7109375" style="144" customWidth="1"/>
    <col min="5" max="5" width="8.28125" style="0" customWidth="1"/>
    <col min="6" max="6" width="12.7109375" style="144" customWidth="1"/>
    <col min="7" max="7" width="8.28125" style="0" customWidth="1"/>
    <col min="8" max="8" width="11.7109375" style="144" customWidth="1"/>
    <col min="9" max="9" width="8.28125" style="0" customWidth="1"/>
    <col min="10" max="10" width="11.421875" style="0" customWidth="1"/>
    <col min="11" max="11" width="9.421875" style="0" customWidth="1"/>
    <col min="12" max="12" width="9.00390625" style="0" customWidth="1"/>
    <col min="13" max="14" width="9.140625" style="0" bestFit="1" customWidth="1"/>
  </cols>
  <sheetData>
    <row r="1" spans="1:11" ht="12.75">
      <c r="A1" s="100" t="s">
        <v>33</v>
      </c>
      <c r="B1" s="37" t="s">
        <v>246</v>
      </c>
      <c r="C1" s="143"/>
      <c r="D1" s="143"/>
      <c r="E1" s="36"/>
      <c r="F1" s="143"/>
      <c r="G1" s="36"/>
      <c r="H1" s="143"/>
      <c r="I1" s="21"/>
      <c r="J1" s="21"/>
      <c r="K1" s="21"/>
    </row>
    <row r="2" spans="1:7" ht="12.75">
      <c r="A2" s="123" t="s">
        <v>34</v>
      </c>
      <c r="B2" s="3" t="s">
        <v>247</v>
      </c>
      <c r="C2" s="150"/>
      <c r="D2" s="150"/>
      <c r="E2" s="1"/>
      <c r="F2" s="150"/>
      <c r="G2" s="1"/>
    </row>
    <row r="3" spans="1:7" ht="13.5" thickBot="1">
      <c r="A3" s="124"/>
      <c r="B3" s="1"/>
      <c r="C3" s="150"/>
      <c r="D3" s="150"/>
      <c r="E3" s="1"/>
      <c r="F3" s="150"/>
      <c r="G3" s="1"/>
    </row>
    <row r="4" spans="1:13" ht="21.75" customHeight="1" thickBot="1" thickTop="1">
      <c r="A4" s="116" t="s">
        <v>46</v>
      </c>
      <c r="B4" s="117" t="s">
        <v>0</v>
      </c>
      <c r="C4" s="158">
        <v>2015</v>
      </c>
      <c r="D4" s="158">
        <v>2016</v>
      </c>
      <c r="E4" s="118" t="s">
        <v>11</v>
      </c>
      <c r="F4" s="158">
        <v>2017</v>
      </c>
      <c r="G4" s="118" t="s">
        <v>11</v>
      </c>
      <c r="H4" s="158">
        <v>2018</v>
      </c>
      <c r="I4" s="118" t="s">
        <v>11</v>
      </c>
      <c r="J4" s="158">
        <v>2019</v>
      </c>
      <c r="K4" s="119" t="s">
        <v>11</v>
      </c>
      <c r="L4" s="120" t="s">
        <v>57</v>
      </c>
      <c r="M4" s="76"/>
    </row>
    <row r="5" spans="1:13" ht="27" thickBot="1" thickTop="1">
      <c r="A5" s="114" t="s">
        <v>47</v>
      </c>
      <c r="B5" s="115" t="s">
        <v>238</v>
      </c>
      <c r="C5" s="174"/>
      <c r="D5" s="175"/>
      <c r="E5" s="175"/>
      <c r="F5" s="175"/>
      <c r="G5" s="175"/>
      <c r="H5" s="175"/>
      <c r="I5" s="175"/>
      <c r="J5" s="175"/>
      <c r="K5" s="175"/>
      <c r="L5" s="176"/>
      <c r="M5" s="76"/>
    </row>
    <row r="6" spans="1:13" ht="14.25" thickTop="1">
      <c r="A6" s="122">
        <v>1</v>
      </c>
      <c r="B6" s="106" t="s">
        <v>71</v>
      </c>
      <c r="C6" s="145">
        <v>966869</v>
      </c>
      <c r="D6" s="140">
        <v>1143157</v>
      </c>
      <c r="E6" s="91">
        <f aca="true" t="shared" si="0" ref="E6:E14">(D6-C6)/C6*100</f>
        <v>18.232873326169315</v>
      </c>
      <c r="F6" s="140">
        <v>1094974</v>
      </c>
      <c r="G6" s="88">
        <f aca="true" t="shared" si="1" ref="G6:G14">SUM(F6-D6)/D6*100</f>
        <v>-4.214906613877184</v>
      </c>
      <c r="H6" s="140">
        <v>1169215</v>
      </c>
      <c r="I6" s="88">
        <f aca="true" t="shared" si="2" ref="I6:I14">SUM(H6-F6)/F6*100</f>
        <v>6.780160990123966</v>
      </c>
      <c r="J6" s="140">
        <v>1247387</v>
      </c>
      <c r="K6" s="88">
        <f aca="true" t="shared" si="3" ref="K6:K14">SUM(J6-H6)/H6*100</f>
        <v>6.6858533289429225</v>
      </c>
      <c r="L6" s="154">
        <f aca="true" t="shared" si="4" ref="L6:L34">J6/$J$197*100</f>
        <v>19.87801205059273</v>
      </c>
      <c r="M6" s="76"/>
    </row>
    <row r="7" spans="1:13" ht="13.5">
      <c r="A7" s="122">
        <v>2</v>
      </c>
      <c r="B7" s="105" t="s">
        <v>68</v>
      </c>
      <c r="C7" s="142">
        <v>3845</v>
      </c>
      <c r="D7" s="141">
        <v>12560</v>
      </c>
      <c r="E7" s="83">
        <f t="shared" si="0"/>
        <v>226.65799739921977</v>
      </c>
      <c r="F7" s="141">
        <v>23711</v>
      </c>
      <c r="G7" s="83">
        <f t="shared" si="1"/>
        <v>88.78184713375796</v>
      </c>
      <c r="H7" s="141">
        <v>28044</v>
      </c>
      <c r="I7" s="83">
        <f t="shared" si="2"/>
        <v>18.27421871705116</v>
      </c>
      <c r="J7" s="141">
        <v>29516</v>
      </c>
      <c r="K7" s="83">
        <f t="shared" si="3"/>
        <v>5.2488945942091</v>
      </c>
      <c r="L7" s="111">
        <f t="shared" si="4"/>
        <v>0.47035876090202555</v>
      </c>
      <c r="M7" s="76"/>
    </row>
    <row r="8" spans="1:13" ht="13.5">
      <c r="A8" s="122">
        <v>3</v>
      </c>
      <c r="B8" s="105" t="s">
        <v>97</v>
      </c>
      <c r="C8" s="142">
        <v>73</v>
      </c>
      <c r="D8" s="141">
        <v>109</v>
      </c>
      <c r="E8" s="83">
        <f t="shared" si="0"/>
        <v>49.31506849315068</v>
      </c>
      <c r="F8" s="141">
        <v>238</v>
      </c>
      <c r="G8" s="83">
        <f t="shared" si="1"/>
        <v>118.34862385321101</v>
      </c>
      <c r="H8" s="141">
        <v>283</v>
      </c>
      <c r="I8" s="83">
        <f t="shared" si="2"/>
        <v>18.907563025210084</v>
      </c>
      <c r="J8" s="141">
        <v>541</v>
      </c>
      <c r="K8" s="83">
        <f t="shared" si="3"/>
        <v>91.16607773851591</v>
      </c>
      <c r="L8" s="111">
        <f t="shared" si="4"/>
        <v>0.008621225425125216</v>
      </c>
      <c r="M8" s="76"/>
    </row>
    <row r="9" spans="1:13" ht="13.5">
      <c r="A9" s="122">
        <v>4</v>
      </c>
      <c r="B9" s="105" t="s">
        <v>70</v>
      </c>
      <c r="C9" s="142">
        <v>688469</v>
      </c>
      <c r="D9" s="141">
        <v>990771</v>
      </c>
      <c r="E9" s="83">
        <f t="shared" si="0"/>
        <v>43.9093118208663</v>
      </c>
      <c r="F9" s="141">
        <v>1385850</v>
      </c>
      <c r="G9" s="83">
        <f t="shared" si="1"/>
        <v>39.875914817853975</v>
      </c>
      <c r="H9" s="141">
        <v>1361512</v>
      </c>
      <c r="I9" s="83">
        <f t="shared" si="2"/>
        <v>-1.756178518598694</v>
      </c>
      <c r="J9" s="141">
        <v>1183991</v>
      </c>
      <c r="K9" s="83">
        <f t="shared" si="3"/>
        <v>-13.038518940707098</v>
      </c>
      <c r="L9" s="111">
        <f t="shared" si="4"/>
        <v>18.867751039407445</v>
      </c>
      <c r="M9" s="76"/>
    </row>
    <row r="10" spans="1:13" ht="13.5">
      <c r="A10" s="122">
        <v>5</v>
      </c>
      <c r="B10" s="105" t="s">
        <v>109</v>
      </c>
      <c r="C10" s="142">
        <v>49</v>
      </c>
      <c r="D10" s="141">
        <v>67</v>
      </c>
      <c r="E10" s="83">
        <f t="shared" si="0"/>
        <v>36.734693877551024</v>
      </c>
      <c r="F10" s="141">
        <v>51</v>
      </c>
      <c r="G10" s="83">
        <f t="shared" si="1"/>
        <v>-23.88059701492537</v>
      </c>
      <c r="H10" s="141">
        <v>87</v>
      </c>
      <c r="I10" s="83">
        <f t="shared" si="2"/>
        <v>70.58823529411765</v>
      </c>
      <c r="J10" s="141">
        <v>54</v>
      </c>
      <c r="K10" s="83">
        <f t="shared" si="3"/>
        <v>-37.93103448275862</v>
      </c>
      <c r="L10" s="111">
        <f t="shared" si="4"/>
        <v>0.0008605289703452156</v>
      </c>
      <c r="M10" s="76"/>
    </row>
    <row r="11" spans="1:13" ht="13.5">
      <c r="A11" s="122">
        <v>6</v>
      </c>
      <c r="B11" s="105" t="s">
        <v>98</v>
      </c>
      <c r="C11" s="142">
        <v>417</v>
      </c>
      <c r="D11" s="141">
        <v>617</v>
      </c>
      <c r="E11" s="83">
        <f t="shared" si="0"/>
        <v>47.961630695443645</v>
      </c>
      <c r="F11" s="141">
        <v>998</v>
      </c>
      <c r="G11" s="83">
        <f t="shared" si="1"/>
        <v>61.750405186385734</v>
      </c>
      <c r="H11" s="141">
        <v>788</v>
      </c>
      <c r="I11" s="83">
        <f t="shared" si="2"/>
        <v>-21.04208416833667</v>
      </c>
      <c r="J11" s="141">
        <v>3577</v>
      </c>
      <c r="K11" s="83">
        <f t="shared" si="3"/>
        <v>353.93401015228426</v>
      </c>
      <c r="L11" s="111">
        <f t="shared" si="4"/>
        <v>0.057002076424534004</v>
      </c>
      <c r="M11" s="76"/>
    </row>
    <row r="12" spans="1:13" ht="13.5">
      <c r="A12" s="122">
        <v>7</v>
      </c>
      <c r="B12" s="105" t="s">
        <v>1</v>
      </c>
      <c r="C12" s="142">
        <v>36936</v>
      </c>
      <c r="D12" s="141">
        <v>44827</v>
      </c>
      <c r="E12" s="83">
        <f t="shared" si="0"/>
        <v>21.363980940004332</v>
      </c>
      <c r="F12" s="141">
        <v>41861</v>
      </c>
      <c r="G12" s="83">
        <f t="shared" si="1"/>
        <v>-6.616548062551588</v>
      </c>
      <c r="H12" s="141">
        <v>38850</v>
      </c>
      <c r="I12" s="83">
        <f t="shared" si="2"/>
        <v>-7.192852535773155</v>
      </c>
      <c r="J12" s="141">
        <v>3515</v>
      </c>
      <c r="K12" s="83">
        <f t="shared" si="3"/>
        <v>-90.95238095238095</v>
      </c>
      <c r="L12" s="111">
        <f t="shared" si="4"/>
        <v>0.05601406168080431</v>
      </c>
      <c r="M12" s="76"/>
    </row>
    <row r="13" spans="1:13" ht="13.5">
      <c r="A13" s="122">
        <v>8</v>
      </c>
      <c r="B13" s="105" t="s">
        <v>64</v>
      </c>
      <c r="C13" s="142">
        <v>118678</v>
      </c>
      <c r="D13" s="141">
        <v>187351</v>
      </c>
      <c r="E13" s="83">
        <f t="shared" si="0"/>
        <v>57.86497918738098</v>
      </c>
      <c r="F13" s="141">
        <v>272761</v>
      </c>
      <c r="G13" s="83">
        <f t="shared" si="1"/>
        <v>45.588227444742756</v>
      </c>
      <c r="H13" s="141">
        <v>353894</v>
      </c>
      <c r="I13" s="83">
        <f t="shared" si="2"/>
        <v>29.74508819076041</v>
      </c>
      <c r="J13" s="141">
        <v>372029</v>
      </c>
      <c r="K13" s="83">
        <f t="shared" si="3"/>
        <v>5.124415785517698</v>
      </c>
      <c r="L13" s="111">
        <f t="shared" si="4"/>
        <v>5.9285505983066695</v>
      </c>
      <c r="M13" s="76"/>
    </row>
    <row r="14" spans="1:13" ht="13.5">
      <c r="A14" s="122">
        <v>9</v>
      </c>
      <c r="B14" s="105" t="s">
        <v>65</v>
      </c>
      <c r="C14" s="142">
        <v>228185</v>
      </c>
      <c r="D14" s="141">
        <v>235009</v>
      </c>
      <c r="E14" s="83">
        <f t="shared" si="0"/>
        <v>2.990555908582948</v>
      </c>
      <c r="F14" s="141">
        <v>252998</v>
      </c>
      <c r="G14" s="83">
        <f t="shared" si="1"/>
        <v>7.654600462109961</v>
      </c>
      <c r="H14" s="141">
        <v>261666</v>
      </c>
      <c r="I14" s="83">
        <f t="shared" si="2"/>
        <v>3.4261140404271972</v>
      </c>
      <c r="J14" s="141">
        <v>257220</v>
      </c>
      <c r="K14" s="83">
        <f t="shared" si="3"/>
        <v>-1.6991126092040998</v>
      </c>
      <c r="L14" s="111">
        <f t="shared" si="4"/>
        <v>4.098986328744377</v>
      </c>
      <c r="M14" s="76"/>
    </row>
    <row r="15" spans="1:13" ht="13.5">
      <c r="A15" s="122">
        <v>10</v>
      </c>
      <c r="B15" s="105" t="s">
        <v>99</v>
      </c>
      <c r="C15" s="142">
        <v>680</v>
      </c>
      <c r="D15" s="141">
        <v>10</v>
      </c>
      <c r="E15" s="83" t="s">
        <v>244</v>
      </c>
      <c r="F15" s="141">
        <v>6</v>
      </c>
      <c r="G15" s="83" t="s">
        <v>244</v>
      </c>
      <c r="H15" s="141">
        <v>19</v>
      </c>
      <c r="I15" s="83" t="s">
        <v>244</v>
      </c>
      <c r="J15" s="141">
        <v>15</v>
      </c>
      <c r="K15" s="83" t="s">
        <v>244</v>
      </c>
      <c r="L15" s="111">
        <f t="shared" si="4"/>
        <v>0.00023903582509589318</v>
      </c>
      <c r="M15" s="76"/>
    </row>
    <row r="16" spans="1:13" ht="13.5">
      <c r="A16" s="122">
        <v>11</v>
      </c>
      <c r="B16" s="105" t="s">
        <v>102</v>
      </c>
      <c r="C16" s="142">
        <v>1210</v>
      </c>
      <c r="D16" s="141">
        <v>775</v>
      </c>
      <c r="E16" s="83">
        <f>(D16-C16)/C16*100</f>
        <v>-35.9504132231405</v>
      </c>
      <c r="F16" s="141">
        <v>384</v>
      </c>
      <c r="G16" s="83">
        <f>SUM(F16-D16)/D16*100</f>
        <v>-50.45161290322581</v>
      </c>
      <c r="H16" s="141">
        <v>154</v>
      </c>
      <c r="I16" s="83">
        <f>SUM(H16-F16)/F16*100</f>
        <v>-59.895833333333336</v>
      </c>
      <c r="J16" s="141">
        <v>31</v>
      </c>
      <c r="K16" s="83">
        <f aca="true" t="shared" si="5" ref="K16:K30">SUM(J16-H16)/H16*100</f>
        <v>-79.87012987012987</v>
      </c>
      <c r="L16" s="111">
        <f t="shared" si="4"/>
        <v>0.000494007371864846</v>
      </c>
      <c r="M16" s="76"/>
    </row>
    <row r="17" spans="1:14" ht="13.5">
      <c r="A17" s="122">
        <v>12</v>
      </c>
      <c r="B17" s="105" t="s">
        <v>100</v>
      </c>
      <c r="C17" s="142">
        <v>882</v>
      </c>
      <c r="D17" s="141">
        <v>634</v>
      </c>
      <c r="E17" s="83">
        <f>(D17-C17)/C17*100</f>
        <v>-28.117913832199548</v>
      </c>
      <c r="F17" s="141">
        <v>842</v>
      </c>
      <c r="G17" s="83">
        <f>SUM(F17-D17)/D17*100</f>
        <v>32.80757097791798</v>
      </c>
      <c r="H17" s="141">
        <v>1248</v>
      </c>
      <c r="I17" s="83">
        <f>SUM(H17-F17)/F17*100</f>
        <v>48.218527315914486</v>
      </c>
      <c r="J17" s="141">
        <v>1593</v>
      </c>
      <c r="K17" s="83">
        <f t="shared" si="5"/>
        <v>27.64423076923077</v>
      </c>
      <c r="L17" s="111">
        <f t="shared" si="4"/>
        <v>0.02538560462518386</v>
      </c>
      <c r="M17" s="76"/>
      <c r="N17" s="4"/>
    </row>
    <row r="18" spans="1:14" ht="13.5">
      <c r="A18" s="122">
        <v>13</v>
      </c>
      <c r="B18" s="105" t="s">
        <v>103</v>
      </c>
      <c r="C18" s="142">
        <v>189</v>
      </c>
      <c r="D18" s="141">
        <v>335</v>
      </c>
      <c r="E18" s="83">
        <f>(D18-C18)/C18*100</f>
        <v>77.24867724867724</v>
      </c>
      <c r="F18" s="141">
        <v>517</v>
      </c>
      <c r="G18" s="83">
        <f>SUM(F18-D18)/D18*100</f>
        <v>54.328358208955216</v>
      </c>
      <c r="H18" s="141">
        <v>725</v>
      </c>
      <c r="I18" s="83">
        <f>SUM(H18-F18)/F18*100</f>
        <v>40.232108317214696</v>
      </c>
      <c r="J18" s="141">
        <v>995</v>
      </c>
      <c r="K18" s="83">
        <f t="shared" si="5"/>
        <v>37.24137931034483</v>
      </c>
      <c r="L18" s="111">
        <f t="shared" si="4"/>
        <v>0.01585604306469425</v>
      </c>
      <c r="M18" s="76"/>
      <c r="N18" s="4"/>
    </row>
    <row r="19" spans="1:14" ht="13.5">
      <c r="A19" s="122">
        <v>14</v>
      </c>
      <c r="B19" s="105" t="s">
        <v>101</v>
      </c>
      <c r="C19" s="142">
        <v>728</v>
      </c>
      <c r="D19" s="141">
        <v>1066</v>
      </c>
      <c r="E19" s="83">
        <f>(D19-C19)/C19*100</f>
        <v>46.42857142857143</v>
      </c>
      <c r="F19" s="141">
        <v>1453</v>
      </c>
      <c r="G19" s="83">
        <f>SUM(F19-D19)/D19*100</f>
        <v>36.30393996247655</v>
      </c>
      <c r="H19" s="141">
        <v>2183</v>
      </c>
      <c r="I19" s="83">
        <f>SUM(H19-F19)/F19*100</f>
        <v>50.24088093599449</v>
      </c>
      <c r="J19" s="141">
        <v>3430</v>
      </c>
      <c r="K19" s="83">
        <f t="shared" si="5"/>
        <v>57.12322491983509</v>
      </c>
      <c r="L19" s="111">
        <f t="shared" si="4"/>
        <v>0.05465952533859424</v>
      </c>
      <c r="M19" s="76"/>
      <c r="N19" s="4"/>
    </row>
    <row r="20" spans="1:14" ht="13.5">
      <c r="A20" s="122">
        <v>15</v>
      </c>
      <c r="B20" s="105" t="s">
        <v>105</v>
      </c>
      <c r="C20" s="142">
        <v>10</v>
      </c>
      <c r="D20" s="141">
        <v>16</v>
      </c>
      <c r="E20" s="83" t="s">
        <v>244</v>
      </c>
      <c r="F20" s="141">
        <v>19</v>
      </c>
      <c r="G20" s="83" t="s">
        <v>244</v>
      </c>
      <c r="H20" s="141">
        <v>67</v>
      </c>
      <c r="I20" s="83" t="s">
        <v>244</v>
      </c>
      <c r="J20" s="141">
        <v>6</v>
      </c>
      <c r="K20" s="83">
        <f t="shared" si="5"/>
        <v>-91.04477611940298</v>
      </c>
      <c r="L20" s="111">
        <f t="shared" si="4"/>
        <v>9.561433003835728E-05</v>
      </c>
      <c r="M20" s="76"/>
      <c r="N20" s="4"/>
    </row>
    <row r="21" spans="1:14" ht="13.5">
      <c r="A21" s="122">
        <v>16</v>
      </c>
      <c r="B21" s="105" t="s">
        <v>104</v>
      </c>
      <c r="C21" s="142">
        <v>1147</v>
      </c>
      <c r="D21" s="141">
        <v>3517</v>
      </c>
      <c r="E21" s="83">
        <f>(D21-C21)/C21*100</f>
        <v>206.62598081952922</v>
      </c>
      <c r="F21" s="141">
        <v>8649</v>
      </c>
      <c r="G21" s="83">
        <f>SUM(F21-D21)/D21*100</f>
        <v>145.91981802672734</v>
      </c>
      <c r="H21" s="141">
        <v>11068</v>
      </c>
      <c r="I21" s="83">
        <f>SUM(H21-F21)/F21*100</f>
        <v>27.968551277604348</v>
      </c>
      <c r="J21" s="141">
        <v>14412</v>
      </c>
      <c r="K21" s="83">
        <f t="shared" si="5"/>
        <v>30.213227322009395</v>
      </c>
      <c r="L21" s="111">
        <f t="shared" si="4"/>
        <v>0.2296656207521342</v>
      </c>
      <c r="M21" s="76"/>
      <c r="N21" s="4"/>
    </row>
    <row r="22" spans="1:14" ht="13.5">
      <c r="A22" s="122">
        <v>17</v>
      </c>
      <c r="B22" s="105" t="s">
        <v>7</v>
      </c>
      <c r="C22" s="142">
        <v>70415</v>
      </c>
      <c r="D22" s="141">
        <v>84330</v>
      </c>
      <c r="E22" s="83">
        <f>(D22-C22)/C22*100</f>
        <v>19.761414471348434</v>
      </c>
      <c r="F22" s="141">
        <v>86463</v>
      </c>
      <c r="G22" s="83">
        <f>SUM(F22-D22)/D22*100</f>
        <v>2.5293489861259335</v>
      </c>
      <c r="H22" s="141">
        <v>111967</v>
      </c>
      <c r="I22" s="83">
        <f>SUM(H22-F22)/F22*100</f>
        <v>29.497010281854667</v>
      </c>
      <c r="J22" s="141">
        <v>132284</v>
      </c>
      <c r="K22" s="83">
        <f t="shared" si="5"/>
        <v>18.145525020765046</v>
      </c>
      <c r="L22" s="111">
        <f t="shared" si="4"/>
        <v>2.1080410057990093</v>
      </c>
      <c r="M22" s="76"/>
      <c r="N22" s="4"/>
    </row>
    <row r="23" spans="1:14" ht="13.5">
      <c r="A23" s="122">
        <v>18</v>
      </c>
      <c r="B23" s="105" t="s">
        <v>67</v>
      </c>
      <c r="C23" s="142">
        <v>1233</v>
      </c>
      <c r="D23" s="141">
        <v>2997</v>
      </c>
      <c r="E23" s="83">
        <f>(D23-C23)/C23*100</f>
        <v>143.06569343065695</v>
      </c>
      <c r="F23" s="141">
        <v>2966</v>
      </c>
      <c r="G23" s="83">
        <f>SUM(F23-D23)/D23*100</f>
        <v>-1.0343677010343677</v>
      </c>
      <c r="H23" s="141">
        <v>5003</v>
      </c>
      <c r="I23" s="83">
        <f>SUM(H23-F23)/F23*100</f>
        <v>68.6783546864464</v>
      </c>
      <c r="J23" s="141">
        <v>5307</v>
      </c>
      <c r="K23" s="83">
        <f t="shared" si="5"/>
        <v>6.0763541874875076</v>
      </c>
      <c r="L23" s="111">
        <f t="shared" si="4"/>
        <v>0.08457087491892701</v>
      </c>
      <c r="M23" s="76"/>
      <c r="N23" s="4"/>
    </row>
    <row r="24" spans="1:14" ht="13.5">
      <c r="A24" s="122">
        <v>19</v>
      </c>
      <c r="B24" s="105" t="s">
        <v>106</v>
      </c>
      <c r="C24" s="142">
        <v>10</v>
      </c>
      <c r="D24" s="141">
        <v>4</v>
      </c>
      <c r="E24" s="83" t="s">
        <v>244</v>
      </c>
      <c r="F24" s="141">
        <v>9</v>
      </c>
      <c r="G24" s="83" t="s">
        <v>244</v>
      </c>
      <c r="H24" s="141">
        <v>56</v>
      </c>
      <c r="I24" s="83" t="s">
        <v>244</v>
      </c>
      <c r="J24" s="141">
        <v>20</v>
      </c>
      <c r="K24" s="83">
        <f t="shared" si="5"/>
        <v>-64.28571428571429</v>
      </c>
      <c r="L24" s="111">
        <f t="shared" si="4"/>
        <v>0.00031871443346119093</v>
      </c>
      <c r="M24" s="76"/>
      <c r="N24" s="4"/>
    </row>
    <row r="25" spans="1:14" ht="13.5">
      <c r="A25" s="122">
        <v>20</v>
      </c>
      <c r="B25" s="105" t="s">
        <v>107</v>
      </c>
      <c r="C25" s="142">
        <v>531</v>
      </c>
      <c r="D25" s="141">
        <v>634</v>
      </c>
      <c r="E25" s="83">
        <f>(D25-C25)/C25*100</f>
        <v>19.397363465160076</v>
      </c>
      <c r="F25" s="141">
        <v>998</v>
      </c>
      <c r="G25" s="83">
        <f>SUM(F25-D25)/D25*100</f>
        <v>57.413249211356465</v>
      </c>
      <c r="H25" s="141">
        <v>666</v>
      </c>
      <c r="I25" s="83">
        <f>SUM(H25-F25)/F25*100</f>
        <v>-33.26653306613226</v>
      </c>
      <c r="J25" s="141">
        <v>323</v>
      </c>
      <c r="K25" s="83">
        <f t="shared" si="5"/>
        <v>-51.5015015015015</v>
      </c>
      <c r="L25" s="111">
        <f t="shared" si="4"/>
        <v>0.005147238100398233</v>
      </c>
      <c r="M25" s="76"/>
      <c r="N25" s="4"/>
    </row>
    <row r="26" spans="1:14" ht="13.5">
      <c r="A26" s="122">
        <v>21</v>
      </c>
      <c r="B26" s="105" t="s">
        <v>108</v>
      </c>
      <c r="C26" s="142">
        <v>24</v>
      </c>
      <c r="D26" s="141">
        <v>35</v>
      </c>
      <c r="E26" s="83" t="s">
        <v>244</v>
      </c>
      <c r="F26" s="141">
        <v>101</v>
      </c>
      <c r="G26" s="83" t="s">
        <v>244</v>
      </c>
      <c r="H26" s="141">
        <v>105</v>
      </c>
      <c r="I26" s="83" t="s">
        <v>244</v>
      </c>
      <c r="J26" s="141">
        <v>80</v>
      </c>
      <c r="K26" s="83">
        <f t="shared" si="5"/>
        <v>-23.809523809523807</v>
      </c>
      <c r="L26" s="111">
        <f t="shared" si="4"/>
        <v>0.0012748577338447637</v>
      </c>
      <c r="M26" s="76"/>
      <c r="N26" s="4"/>
    </row>
    <row r="27" spans="1:14" ht="13.5">
      <c r="A27" s="122">
        <v>22</v>
      </c>
      <c r="B27" s="105" t="s">
        <v>66</v>
      </c>
      <c r="C27" s="142">
        <v>152866</v>
      </c>
      <c r="D27" s="141">
        <v>151440</v>
      </c>
      <c r="E27" s="83">
        <f>(D27-C27)/C27*100</f>
        <v>-0.9328431436683108</v>
      </c>
      <c r="F27" s="141">
        <v>174842</v>
      </c>
      <c r="G27" s="83">
        <f>SUM(F27-D27)/D27*100</f>
        <v>15.45298468040148</v>
      </c>
      <c r="H27" s="141">
        <v>143581</v>
      </c>
      <c r="I27" s="83">
        <f>SUM(H27-F27)/F27*100</f>
        <v>-17.87957127006097</v>
      </c>
      <c r="J27" s="141">
        <v>212846</v>
      </c>
      <c r="K27" s="83">
        <f t="shared" si="5"/>
        <v>48.241062536129434</v>
      </c>
      <c r="L27" s="111">
        <f t="shared" si="4"/>
        <v>3.3918546152240325</v>
      </c>
      <c r="M27" s="76"/>
      <c r="N27" s="4"/>
    </row>
    <row r="28" spans="1:14" ht="13.5">
      <c r="A28" s="122">
        <v>23</v>
      </c>
      <c r="B28" s="105" t="s">
        <v>241</v>
      </c>
      <c r="C28" s="142">
        <v>1700</v>
      </c>
      <c r="D28" s="141">
        <v>4717</v>
      </c>
      <c r="E28" s="83">
        <f>(D28-C28)/C28*100</f>
        <v>177.47058823529412</v>
      </c>
      <c r="F28" s="141">
        <v>10303</v>
      </c>
      <c r="G28" s="83">
        <f>SUM(F28-D28)/D28*100</f>
        <v>118.42272630909476</v>
      </c>
      <c r="H28" s="141">
        <v>11933</v>
      </c>
      <c r="I28" s="83">
        <f>SUM(H28-F28)/F28*100</f>
        <v>15.820634766572844</v>
      </c>
      <c r="J28" s="141">
        <v>10019</v>
      </c>
      <c r="K28" s="83">
        <f t="shared" si="5"/>
        <v>-16.03955417749099</v>
      </c>
      <c r="L28" s="111">
        <f t="shared" si="4"/>
        <v>0.1596599954423836</v>
      </c>
      <c r="M28" s="76"/>
      <c r="N28" s="4"/>
    </row>
    <row r="29" spans="1:14" ht="13.5">
      <c r="A29" s="122">
        <v>24</v>
      </c>
      <c r="B29" s="105" t="s">
        <v>69</v>
      </c>
      <c r="C29" s="142">
        <v>124593</v>
      </c>
      <c r="D29" s="141">
        <v>136514</v>
      </c>
      <c r="E29" s="83">
        <f>(D29-C29)/C29*100</f>
        <v>9.567953255800887</v>
      </c>
      <c r="F29" s="141">
        <v>129921</v>
      </c>
      <c r="G29" s="83">
        <f>SUM(F29-D29)/D29*100</f>
        <v>-4.829541292468171</v>
      </c>
      <c r="H29" s="141">
        <v>106058</v>
      </c>
      <c r="I29" s="83">
        <f>SUM(H29-F29)/F29*100</f>
        <v>-18.367315522509834</v>
      </c>
      <c r="J29" s="141">
        <v>107366</v>
      </c>
      <c r="K29" s="83">
        <f t="shared" si="5"/>
        <v>1.2332874464915424</v>
      </c>
      <c r="L29" s="111">
        <f t="shared" si="4"/>
        <v>1.7109546931497113</v>
      </c>
      <c r="M29" s="76"/>
      <c r="N29" s="4"/>
    </row>
    <row r="30" spans="1:14" ht="13.5">
      <c r="A30" s="122">
        <v>25</v>
      </c>
      <c r="B30" s="105" t="s">
        <v>110</v>
      </c>
      <c r="C30" s="142">
        <v>0</v>
      </c>
      <c r="D30" s="141">
        <v>0</v>
      </c>
      <c r="E30" s="83" t="s">
        <v>244</v>
      </c>
      <c r="F30" s="84" t="s">
        <v>244</v>
      </c>
      <c r="G30" s="83" t="s">
        <v>244</v>
      </c>
      <c r="H30" s="142">
        <v>0</v>
      </c>
      <c r="I30" s="84" t="s">
        <v>244</v>
      </c>
      <c r="J30" s="142">
        <v>0</v>
      </c>
      <c r="K30" s="83" t="e">
        <f t="shared" si="5"/>
        <v>#DIV/0!</v>
      </c>
      <c r="L30" s="111">
        <v>0</v>
      </c>
      <c r="M30" s="76"/>
      <c r="N30" s="4"/>
    </row>
    <row r="31" spans="1:14" ht="13.5">
      <c r="A31" s="122">
        <v>26</v>
      </c>
      <c r="B31" s="105" t="s">
        <v>112</v>
      </c>
      <c r="C31" s="142">
        <v>27110</v>
      </c>
      <c r="D31" s="141">
        <v>35548</v>
      </c>
      <c r="E31" s="83">
        <f>(D31-C31)/C31*100</f>
        <v>31.12504610844707</v>
      </c>
      <c r="F31" s="141">
        <v>38481</v>
      </c>
      <c r="G31" s="83">
        <f>SUM(F31-D31)/D31*100</f>
        <v>8.250815798357152</v>
      </c>
      <c r="H31" s="141">
        <v>37143</v>
      </c>
      <c r="I31" s="83">
        <f>SUM(H31-F31)/F31*100</f>
        <v>-3.4770406174475714</v>
      </c>
      <c r="J31" s="141">
        <v>27698</v>
      </c>
      <c r="K31" s="83">
        <f>SUM(J31-H31)/H31*100</f>
        <v>-25.428748350967883</v>
      </c>
      <c r="L31" s="111">
        <f t="shared" si="4"/>
        <v>0.44138761890040334</v>
      </c>
      <c r="M31" s="76"/>
      <c r="N31" s="4"/>
    </row>
    <row r="32" spans="1:14" ht="13.5">
      <c r="A32" s="122">
        <v>27</v>
      </c>
      <c r="B32" s="105" t="s">
        <v>111</v>
      </c>
      <c r="C32" s="142">
        <v>23</v>
      </c>
      <c r="D32" s="141">
        <v>44</v>
      </c>
      <c r="E32" s="83" t="s">
        <v>244</v>
      </c>
      <c r="F32" s="141">
        <v>65</v>
      </c>
      <c r="G32" s="83" t="s">
        <v>244</v>
      </c>
      <c r="H32" s="141">
        <v>81</v>
      </c>
      <c r="I32" s="83">
        <f>SUM(H32-F32)/F32*100</f>
        <v>24.615384615384617</v>
      </c>
      <c r="J32" s="141">
        <v>102</v>
      </c>
      <c r="K32" s="83">
        <f>SUM(J32-H32)/H32*100</f>
        <v>25.925925925925924</v>
      </c>
      <c r="L32" s="111">
        <f t="shared" si="4"/>
        <v>0.001625443610652074</v>
      </c>
      <c r="M32" s="76"/>
      <c r="N32" s="4"/>
    </row>
    <row r="33" spans="1:16" ht="13.5">
      <c r="A33" s="122">
        <v>28</v>
      </c>
      <c r="B33" s="105" t="s">
        <v>113</v>
      </c>
      <c r="C33" s="142">
        <v>10</v>
      </c>
      <c r="D33" s="141">
        <v>24</v>
      </c>
      <c r="E33" s="110" t="s">
        <v>244</v>
      </c>
      <c r="F33" s="141">
        <v>89</v>
      </c>
      <c r="G33" s="83" t="s">
        <v>244</v>
      </c>
      <c r="H33" s="141">
        <v>104</v>
      </c>
      <c r="I33" s="83" t="s">
        <v>244</v>
      </c>
      <c r="J33" s="141">
        <v>125</v>
      </c>
      <c r="K33" s="83">
        <f>SUM(J33-H33)/H33*100</f>
        <v>20.192307692307693</v>
      </c>
      <c r="L33" s="155">
        <f t="shared" si="4"/>
        <v>0.001991965209132443</v>
      </c>
      <c r="M33" s="76"/>
      <c r="N33" s="66"/>
      <c r="O33" s="22"/>
      <c r="P33" s="22"/>
    </row>
    <row r="34" spans="1:16" ht="13.5" thickBot="1">
      <c r="A34" s="126"/>
      <c r="B34" s="127" t="s">
        <v>2</v>
      </c>
      <c r="C34" s="146">
        <f>SUM(C6:C33)</f>
        <v>2426882</v>
      </c>
      <c r="D34" s="146">
        <f>SUM(D6:D33)</f>
        <v>3037108</v>
      </c>
      <c r="E34" s="129">
        <f>(D34-C34)/C34*100</f>
        <v>25.144444600108283</v>
      </c>
      <c r="F34" s="146">
        <f>SUM(F6:F33)</f>
        <v>3529550</v>
      </c>
      <c r="G34" s="129">
        <f>SUM(F34-D34)/D34*100</f>
        <v>16.214174800501002</v>
      </c>
      <c r="H34" s="146">
        <f>SUM(H6:H33)</f>
        <v>3646500</v>
      </c>
      <c r="I34" s="130">
        <f>(H34-F34)/F34*100</f>
        <v>3.3134535564023744</v>
      </c>
      <c r="J34" s="157">
        <f>SUM(J6:J33)</f>
        <v>3614482</v>
      </c>
      <c r="K34" s="128">
        <f>(J34-H34)/H34*100</f>
        <v>-0.8780474427533251</v>
      </c>
      <c r="L34" s="156">
        <f t="shared" si="4"/>
        <v>57.59937914428362</v>
      </c>
      <c r="M34" s="77"/>
      <c r="N34" s="66"/>
      <c r="O34" s="22"/>
      <c r="P34" s="22"/>
    </row>
    <row r="35" spans="1:16" ht="14.25" thickBot="1" thickTop="1">
      <c r="A35" s="112" t="s">
        <v>50</v>
      </c>
      <c r="B35" s="80" t="s">
        <v>6</v>
      </c>
      <c r="C35" s="177"/>
      <c r="D35" s="178"/>
      <c r="E35" s="178"/>
      <c r="F35" s="178"/>
      <c r="G35" s="178"/>
      <c r="H35" s="178"/>
      <c r="I35" s="178"/>
      <c r="J35" s="178"/>
      <c r="K35" s="178"/>
      <c r="L35" s="179"/>
      <c r="M35" s="76"/>
      <c r="N35" s="66"/>
      <c r="O35" s="22"/>
      <c r="P35" s="22"/>
    </row>
    <row r="36" spans="1:16" ht="13.5" thickTop="1">
      <c r="A36" s="122">
        <v>1</v>
      </c>
      <c r="B36" s="81" t="s">
        <v>72</v>
      </c>
      <c r="C36" s="145">
        <v>3107</v>
      </c>
      <c r="D36" s="89">
        <v>3962</v>
      </c>
      <c r="E36" s="88">
        <f aca="true" t="shared" si="6" ref="E36:E45">SUM(D36-C36)/C36*100</f>
        <v>27.518506598004507</v>
      </c>
      <c r="F36" s="89">
        <v>4811</v>
      </c>
      <c r="G36" s="88">
        <f aca="true" t="shared" si="7" ref="G36:G83">SUM(F36-D36)/D36*100</f>
        <v>21.428571428571427</v>
      </c>
      <c r="H36" s="89">
        <v>4930</v>
      </c>
      <c r="I36" s="90">
        <f>(H36-F36)/F36*100</f>
        <v>2.4734982332155475</v>
      </c>
      <c r="J36" s="89">
        <v>3674</v>
      </c>
      <c r="K36" s="90">
        <f aca="true" t="shared" si="8" ref="K36:K83">(J36-H36)/H36*100</f>
        <v>-25.476673427991887</v>
      </c>
      <c r="L36" s="113">
        <f aca="true" t="shared" si="9" ref="L36:L44">J36/$J$197*100</f>
        <v>0.058547841426820776</v>
      </c>
      <c r="M36" s="76"/>
      <c r="N36" s="22"/>
      <c r="O36" s="22"/>
      <c r="P36" s="22"/>
    </row>
    <row r="37" spans="1:16" ht="12.75">
      <c r="A37" s="121">
        <f>+A36+1</f>
        <v>2</v>
      </c>
      <c r="B37" s="101" t="s">
        <v>245</v>
      </c>
      <c r="C37" s="142">
        <v>4408</v>
      </c>
      <c r="D37" s="82">
        <v>3099</v>
      </c>
      <c r="E37" s="83">
        <f t="shared" si="6"/>
        <v>-29.69600725952813</v>
      </c>
      <c r="F37" s="82">
        <v>6386</v>
      </c>
      <c r="G37" s="83">
        <f t="shared" si="7"/>
        <v>106.06647305582446</v>
      </c>
      <c r="H37" s="82">
        <v>6832</v>
      </c>
      <c r="I37" s="84">
        <f aca="true" t="shared" si="10" ref="I37:I45">(H37-F37)/F37*100</f>
        <v>6.984027560288131</v>
      </c>
      <c r="J37" s="82">
        <v>10584</v>
      </c>
      <c r="K37" s="84">
        <f t="shared" si="8"/>
        <v>54.91803278688525</v>
      </c>
      <c r="L37" s="111">
        <f t="shared" si="9"/>
        <v>0.16866367818766226</v>
      </c>
      <c r="M37" s="76"/>
      <c r="N37" s="22"/>
      <c r="O37" s="22"/>
      <c r="P37" s="22"/>
    </row>
    <row r="38" spans="1:16" ht="12.75">
      <c r="A38" s="121">
        <f aca="true" t="shared" si="11" ref="A38:A43">+A37+1</f>
        <v>3</v>
      </c>
      <c r="B38" s="101" t="s">
        <v>73</v>
      </c>
      <c r="C38" s="142">
        <v>1739</v>
      </c>
      <c r="D38" s="82">
        <v>1888</v>
      </c>
      <c r="E38" s="83">
        <f t="shared" si="6"/>
        <v>8.568142610695801</v>
      </c>
      <c r="F38" s="82">
        <v>2330</v>
      </c>
      <c r="G38" s="83">
        <f t="shared" si="7"/>
        <v>23.41101694915254</v>
      </c>
      <c r="H38" s="82">
        <v>3845</v>
      </c>
      <c r="I38" s="84">
        <f t="shared" si="10"/>
        <v>65.02145922746782</v>
      </c>
      <c r="J38" s="82">
        <v>8434</v>
      </c>
      <c r="K38" s="84">
        <f t="shared" si="8"/>
        <v>119.34980494148245</v>
      </c>
      <c r="L38" s="111">
        <f t="shared" si="9"/>
        <v>0.13440187659058422</v>
      </c>
      <c r="M38" s="76"/>
      <c r="N38" s="22"/>
      <c r="O38" s="22"/>
      <c r="P38" s="22"/>
    </row>
    <row r="39" spans="1:16" ht="12.75">
      <c r="A39" s="121">
        <f t="shared" si="11"/>
        <v>4</v>
      </c>
      <c r="B39" s="101" t="s">
        <v>74</v>
      </c>
      <c r="C39" s="142">
        <v>540</v>
      </c>
      <c r="D39" s="82">
        <v>522</v>
      </c>
      <c r="E39" s="83">
        <f t="shared" si="6"/>
        <v>-3.3333333333333335</v>
      </c>
      <c r="F39" s="82">
        <v>1195</v>
      </c>
      <c r="G39" s="83">
        <f t="shared" si="7"/>
        <v>128.9272030651341</v>
      </c>
      <c r="H39" s="82">
        <v>746</v>
      </c>
      <c r="I39" s="84">
        <f t="shared" si="10"/>
        <v>-37.57322175732218</v>
      </c>
      <c r="J39" s="82">
        <v>1203</v>
      </c>
      <c r="K39" s="84">
        <f t="shared" si="8"/>
        <v>61.260053619302944</v>
      </c>
      <c r="L39" s="111">
        <f t="shared" si="9"/>
        <v>0.019170673172690635</v>
      </c>
      <c r="M39" s="76"/>
      <c r="N39" s="22"/>
      <c r="O39" s="22"/>
      <c r="P39" s="22"/>
    </row>
    <row r="40" spans="1:13" ht="12.75">
      <c r="A40" s="121">
        <f t="shared" si="11"/>
        <v>5</v>
      </c>
      <c r="B40" s="101" t="s">
        <v>75</v>
      </c>
      <c r="C40" s="142">
        <v>190381</v>
      </c>
      <c r="D40" s="82">
        <v>179721</v>
      </c>
      <c r="E40" s="83">
        <f t="shared" si="6"/>
        <v>-5.599298249300088</v>
      </c>
      <c r="F40" s="82">
        <v>170459</v>
      </c>
      <c r="G40" s="83">
        <f t="shared" si="7"/>
        <v>-5.153543548055041</v>
      </c>
      <c r="H40" s="82">
        <v>194760</v>
      </c>
      <c r="I40" s="84">
        <f t="shared" si="10"/>
        <v>14.25621410427141</v>
      </c>
      <c r="J40" s="82">
        <v>184892</v>
      </c>
      <c r="K40" s="84">
        <f t="shared" si="8"/>
        <v>-5.066748819059355</v>
      </c>
      <c r="L40" s="111">
        <f t="shared" si="9"/>
        <v>2.9463874515753257</v>
      </c>
      <c r="M40" s="76"/>
    </row>
    <row r="41" spans="1:13" ht="12.75">
      <c r="A41" s="121">
        <f>+A40+1</f>
        <v>6</v>
      </c>
      <c r="B41" s="101" t="s">
        <v>76</v>
      </c>
      <c r="C41" s="142">
        <v>34941</v>
      </c>
      <c r="D41" s="82">
        <v>49166</v>
      </c>
      <c r="E41" s="83">
        <f t="shared" si="6"/>
        <v>40.711485074840446</v>
      </c>
      <c r="F41" s="82">
        <v>57826</v>
      </c>
      <c r="G41" s="83">
        <f t="shared" si="7"/>
        <v>17.613798153195297</v>
      </c>
      <c r="H41" s="82">
        <v>88344</v>
      </c>
      <c r="I41" s="84">
        <f t="shared" si="10"/>
        <v>52.77556808356103</v>
      </c>
      <c r="J41" s="82">
        <v>106902</v>
      </c>
      <c r="K41" s="84">
        <f t="shared" si="8"/>
        <v>21.006519967400163</v>
      </c>
      <c r="L41" s="111">
        <f t="shared" si="9"/>
        <v>1.7035605182934117</v>
      </c>
      <c r="M41" s="76"/>
    </row>
    <row r="42" spans="1:13" ht="12.75">
      <c r="A42" s="121">
        <f t="shared" si="11"/>
        <v>7</v>
      </c>
      <c r="B42" s="101" t="s">
        <v>77</v>
      </c>
      <c r="C42" s="142">
        <v>146660</v>
      </c>
      <c r="D42" s="82">
        <v>136448</v>
      </c>
      <c r="E42" s="83">
        <f t="shared" si="6"/>
        <v>-6.963043774717033</v>
      </c>
      <c r="F42" s="82">
        <v>125934</v>
      </c>
      <c r="G42" s="83">
        <f t="shared" si="7"/>
        <v>-7.705499530956848</v>
      </c>
      <c r="H42" s="82">
        <v>144549</v>
      </c>
      <c r="I42" s="84">
        <f t="shared" si="10"/>
        <v>14.78155224165039</v>
      </c>
      <c r="J42" s="82">
        <v>163377</v>
      </c>
      <c r="K42" s="84">
        <f t="shared" si="8"/>
        <v>13.025340887865013</v>
      </c>
      <c r="L42" s="111">
        <f t="shared" si="9"/>
        <v>2.6035303997794497</v>
      </c>
      <c r="M42" s="76"/>
    </row>
    <row r="43" spans="1:13" ht="12.75">
      <c r="A43" s="121">
        <f t="shared" si="11"/>
        <v>8</v>
      </c>
      <c r="B43" s="101" t="s">
        <v>78</v>
      </c>
      <c r="C43" s="142">
        <v>27953</v>
      </c>
      <c r="D43" s="82">
        <v>32721</v>
      </c>
      <c r="E43" s="83">
        <f t="shared" si="6"/>
        <v>17.057203162451255</v>
      </c>
      <c r="F43" s="82">
        <v>42070</v>
      </c>
      <c r="G43" s="83">
        <f t="shared" si="7"/>
        <v>28.57186516304514</v>
      </c>
      <c r="H43" s="82">
        <v>47367</v>
      </c>
      <c r="I43" s="84">
        <f t="shared" si="10"/>
        <v>12.590919895412409</v>
      </c>
      <c r="J43" s="82">
        <v>61083</v>
      </c>
      <c r="K43" s="84">
        <f t="shared" si="8"/>
        <v>28.956868706061183</v>
      </c>
      <c r="L43" s="111">
        <f t="shared" si="9"/>
        <v>0.9734016869554962</v>
      </c>
      <c r="M43" s="76"/>
    </row>
    <row r="44" spans="1:13" ht="12.75">
      <c r="A44" s="121">
        <f>1+A43</f>
        <v>9</v>
      </c>
      <c r="B44" s="101" t="s">
        <v>79</v>
      </c>
      <c r="C44" s="142">
        <v>10444</v>
      </c>
      <c r="D44" s="82">
        <v>13160</v>
      </c>
      <c r="E44" s="83">
        <f t="shared" si="6"/>
        <v>26.005361930294907</v>
      </c>
      <c r="F44" s="82">
        <v>17134</v>
      </c>
      <c r="G44" s="83">
        <f t="shared" si="7"/>
        <v>30.19756838905775</v>
      </c>
      <c r="H44" s="82">
        <v>21323</v>
      </c>
      <c r="I44" s="84">
        <f t="shared" si="10"/>
        <v>24.448465040270804</v>
      </c>
      <c r="J44" s="82">
        <v>39478</v>
      </c>
      <c r="K44" s="84">
        <f t="shared" si="8"/>
        <v>85.14280354546734</v>
      </c>
      <c r="L44" s="111">
        <f t="shared" si="9"/>
        <v>0.6291104202090448</v>
      </c>
      <c r="M44" s="76"/>
    </row>
    <row r="45" spans="1:13" ht="13.5" thickBot="1">
      <c r="A45" s="126"/>
      <c r="B45" s="127" t="s">
        <v>2</v>
      </c>
      <c r="C45" s="146">
        <f>SUM(C36:C44)</f>
        <v>420173</v>
      </c>
      <c r="D45" s="146">
        <f>SUM(D36:D44)</f>
        <v>420687</v>
      </c>
      <c r="E45" s="129">
        <f t="shared" si="6"/>
        <v>0.12233056383918052</v>
      </c>
      <c r="F45" s="146">
        <f>SUM(F36:F44)</f>
        <v>428145</v>
      </c>
      <c r="G45" s="129">
        <f t="shared" si="7"/>
        <v>1.7728144677634439</v>
      </c>
      <c r="H45" s="146">
        <f>SUM(H36:H44)</f>
        <v>512696</v>
      </c>
      <c r="I45" s="130">
        <f t="shared" si="10"/>
        <v>19.74821614172769</v>
      </c>
      <c r="J45" s="128">
        <f>SUM(J36:J44)</f>
        <v>579627</v>
      </c>
      <c r="K45" s="130">
        <f>(J45-H45)/H45*100</f>
        <v>13.054714684725452</v>
      </c>
      <c r="L45" s="131">
        <f>J45/$J$197*100</f>
        <v>9.236774546190487</v>
      </c>
      <c r="M45" s="76"/>
    </row>
    <row r="46" spans="1:13" ht="14.25" thickBot="1" thickTop="1">
      <c r="A46" s="112" t="s">
        <v>51</v>
      </c>
      <c r="B46" s="92" t="s">
        <v>239</v>
      </c>
      <c r="C46" s="180"/>
      <c r="D46" s="181"/>
      <c r="E46" s="181"/>
      <c r="F46" s="181"/>
      <c r="G46" s="181"/>
      <c r="H46" s="181"/>
      <c r="I46" s="181"/>
      <c r="J46" s="181"/>
      <c r="K46" s="181"/>
      <c r="L46" s="182"/>
      <c r="M46" s="76"/>
    </row>
    <row r="47" spans="1:13" ht="13.5" thickTop="1">
      <c r="A47" s="122">
        <v>1</v>
      </c>
      <c r="B47" s="106" t="s">
        <v>114</v>
      </c>
      <c r="C47" s="145">
        <v>491</v>
      </c>
      <c r="D47" s="89">
        <v>1631</v>
      </c>
      <c r="E47" s="91">
        <v>0</v>
      </c>
      <c r="F47" s="89">
        <v>2169</v>
      </c>
      <c r="G47" s="83" t="s">
        <v>244</v>
      </c>
      <c r="H47" s="89">
        <v>2659</v>
      </c>
      <c r="I47" s="88" t="s">
        <v>244</v>
      </c>
      <c r="J47" s="89">
        <v>3164</v>
      </c>
      <c r="K47" s="84">
        <f t="shared" si="8"/>
        <v>18.992102294095524</v>
      </c>
      <c r="L47" s="111">
        <f aca="true" t="shared" si="12" ref="L47:L84">J47/$J$197*100</f>
        <v>0.05042062337356041</v>
      </c>
      <c r="M47" s="76"/>
    </row>
    <row r="48" spans="1:13" ht="12.75">
      <c r="A48" s="121">
        <v>2</v>
      </c>
      <c r="B48" s="105" t="s">
        <v>115</v>
      </c>
      <c r="C48" s="142">
        <v>40</v>
      </c>
      <c r="D48" s="82">
        <v>120</v>
      </c>
      <c r="E48" s="83">
        <f aca="true" t="shared" si="13" ref="E48:E83">SUM(D48-C48)/C48*100</f>
        <v>200</v>
      </c>
      <c r="F48" s="82">
        <v>109</v>
      </c>
      <c r="G48" s="83">
        <f t="shared" si="7"/>
        <v>-9.166666666666666</v>
      </c>
      <c r="H48" s="82">
        <v>144</v>
      </c>
      <c r="I48" s="83">
        <f aca="true" t="shared" si="14" ref="I48:I83">SUM(H48-F48)/F48*100</f>
        <v>32.11009174311927</v>
      </c>
      <c r="J48" s="82">
        <v>120</v>
      </c>
      <c r="K48" s="84">
        <f t="shared" si="8"/>
        <v>-16.666666666666664</v>
      </c>
      <c r="L48" s="111">
        <f t="shared" si="12"/>
        <v>0.0019122866007671455</v>
      </c>
      <c r="M48" s="76"/>
    </row>
    <row r="49" spans="1:13" ht="12.75">
      <c r="A49" s="121">
        <v>3</v>
      </c>
      <c r="B49" s="105" t="s">
        <v>118</v>
      </c>
      <c r="C49" s="142">
        <v>4</v>
      </c>
      <c r="D49" s="82">
        <v>117</v>
      </c>
      <c r="E49" s="83">
        <f t="shared" si="13"/>
        <v>2825</v>
      </c>
      <c r="F49" s="82">
        <v>20</v>
      </c>
      <c r="G49" s="83">
        <f t="shared" si="7"/>
        <v>-82.90598290598291</v>
      </c>
      <c r="H49" s="82">
        <v>60</v>
      </c>
      <c r="I49" s="83">
        <f t="shared" si="14"/>
        <v>200</v>
      </c>
      <c r="J49" s="82">
        <v>61</v>
      </c>
      <c r="K49" s="152">
        <f t="shared" si="8"/>
        <v>1.6666666666666667</v>
      </c>
      <c r="L49" s="111">
        <f t="shared" si="12"/>
        <v>0.0009720790220566324</v>
      </c>
      <c r="M49" s="76"/>
    </row>
    <row r="50" spans="1:13" ht="12.75">
      <c r="A50" s="121">
        <v>4</v>
      </c>
      <c r="B50" s="105" t="s">
        <v>117</v>
      </c>
      <c r="C50" s="142">
        <v>28</v>
      </c>
      <c r="D50" s="82">
        <v>80</v>
      </c>
      <c r="E50" s="83">
        <f t="shared" si="13"/>
        <v>185.71428571428572</v>
      </c>
      <c r="F50" s="82">
        <v>128</v>
      </c>
      <c r="G50" s="83">
        <f t="shared" si="7"/>
        <v>60</v>
      </c>
      <c r="H50" s="82">
        <v>244</v>
      </c>
      <c r="I50" s="83">
        <f t="shared" si="14"/>
        <v>90.625</v>
      </c>
      <c r="J50" s="82">
        <v>353</v>
      </c>
      <c r="K50" s="84">
        <f t="shared" si="8"/>
        <v>44.67213114754098</v>
      </c>
      <c r="L50" s="111">
        <f t="shared" si="12"/>
        <v>0.00562530975059002</v>
      </c>
      <c r="M50" s="76"/>
    </row>
    <row r="51" spans="1:13" ht="12.75">
      <c r="A51" s="121">
        <v>5</v>
      </c>
      <c r="B51" s="105" t="s">
        <v>119</v>
      </c>
      <c r="C51" s="142">
        <v>7</v>
      </c>
      <c r="D51" s="82">
        <v>20</v>
      </c>
      <c r="E51" s="83">
        <f t="shared" si="13"/>
        <v>185.71428571428572</v>
      </c>
      <c r="F51" s="82">
        <v>4</v>
      </c>
      <c r="G51" s="83">
        <f t="shared" si="7"/>
        <v>-80</v>
      </c>
      <c r="H51" s="82">
        <v>19</v>
      </c>
      <c r="I51" s="83">
        <f t="shared" si="14"/>
        <v>375</v>
      </c>
      <c r="J51" s="82">
        <v>20</v>
      </c>
      <c r="K51" s="84">
        <f t="shared" si="8"/>
        <v>5.263157894736842</v>
      </c>
      <c r="L51" s="111">
        <f t="shared" si="12"/>
        <v>0.00031871443346119093</v>
      </c>
      <c r="M51" s="76"/>
    </row>
    <row r="52" spans="1:13" ht="12.75">
      <c r="A52" s="121">
        <v>6</v>
      </c>
      <c r="B52" s="105" t="s">
        <v>120</v>
      </c>
      <c r="C52" s="142">
        <v>21</v>
      </c>
      <c r="D52" s="82">
        <v>40</v>
      </c>
      <c r="E52" s="83">
        <f t="shared" si="13"/>
        <v>90.47619047619048</v>
      </c>
      <c r="F52" s="82">
        <v>26</v>
      </c>
      <c r="G52" s="83">
        <f t="shared" si="7"/>
        <v>-35</v>
      </c>
      <c r="H52" s="82">
        <v>63</v>
      </c>
      <c r="I52" s="83">
        <f t="shared" si="14"/>
        <v>142.30769230769232</v>
      </c>
      <c r="J52" s="82">
        <v>9</v>
      </c>
      <c r="K52" s="84">
        <f t="shared" si="8"/>
        <v>-85.71428571428571</v>
      </c>
      <c r="L52" s="111">
        <f t="shared" si="12"/>
        <v>0.00014342149505753592</v>
      </c>
      <c r="M52" s="76"/>
    </row>
    <row r="53" spans="1:13" ht="12.75">
      <c r="A53" s="121">
        <v>7</v>
      </c>
      <c r="B53" s="105" t="s">
        <v>122</v>
      </c>
      <c r="C53" s="142">
        <v>12</v>
      </c>
      <c r="D53" s="82">
        <v>46</v>
      </c>
      <c r="E53" s="83">
        <f t="shared" si="13"/>
        <v>283.33333333333337</v>
      </c>
      <c r="F53" s="82">
        <v>99</v>
      </c>
      <c r="G53" s="83">
        <f t="shared" si="7"/>
        <v>115.21739130434783</v>
      </c>
      <c r="H53" s="82">
        <v>136</v>
      </c>
      <c r="I53" s="83">
        <f t="shared" si="14"/>
        <v>37.37373737373738</v>
      </c>
      <c r="J53" s="82">
        <v>170</v>
      </c>
      <c r="K53" s="84">
        <f t="shared" si="8"/>
        <v>25</v>
      </c>
      <c r="L53" s="111">
        <f t="shared" si="12"/>
        <v>0.002709072684420123</v>
      </c>
      <c r="M53" s="76"/>
    </row>
    <row r="54" spans="1:13" ht="12.75">
      <c r="A54" s="121">
        <v>8</v>
      </c>
      <c r="B54" s="105" t="s">
        <v>121</v>
      </c>
      <c r="C54" s="142">
        <v>10</v>
      </c>
      <c r="D54" s="82">
        <v>34</v>
      </c>
      <c r="E54" s="83" t="s">
        <v>244</v>
      </c>
      <c r="F54" s="82">
        <v>53</v>
      </c>
      <c r="G54" s="83" t="s">
        <v>244</v>
      </c>
      <c r="H54" s="82">
        <v>81</v>
      </c>
      <c r="I54" s="83" t="s">
        <v>244</v>
      </c>
      <c r="J54" s="82">
        <v>105</v>
      </c>
      <c r="K54" s="84">
        <f t="shared" si="8"/>
        <v>29.629629629629626</v>
      </c>
      <c r="L54" s="111">
        <f t="shared" si="12"/>
        <v>0.0016732507756712525</v>
      </c>
      <c r="M54" s="76"/>
    </row>
    <row r="55" spans="1:13" ht="12.75">
      <c r="A55" s="121">
        <v>9</v>
      </c>
      <c r="B55" s="105" t="s">
        <v>123</v>
      </c>
      <c r="C55" s="142">
        <v>34</v>
      </c>
      <c r="D55" s="82">
        <v>82</v>
      </c>
      <c r="E55" s="83">
        <f t="shared" si="13"/>
        <v>141.1764705882353</v>
      </c>
      <c r="F55" s="82">
        <v>39</v>
      </c>
      <c r="G55" s="83">
        <f t="shared" si="7"/>
        <v>-52.4390243902439</v>
      </c>
      <c r="H55" s="82">
        <v>80</v>
      </c>
      <c r="I55" s="83">
        <f t="shared" si="14"/>
        <v>105.12820512820514</v>
      </c>
      <c r="J55" s="82">
        <f>22+72</f>
        <v>94</v>
      </c>
      <c r="K55" s="84">
        <f t="shared" si="8"/>
        <v>17.5</v>
      </c>
      <c r="L55" s="111">
        <f t="shared" si="12"/>
        <v>0.0014979578372675973</v>
      </c>
      <c r="M55" s="76"/>
    </row>
    <row r="56" spans="1:13" ht="12.75">
      <c r="A56" s="121">
        <v>10</v>
      </c>
      <c r="B56" s="105" t="s">
        <v>125</v>
      </c>
      <c r="C56" s="142">
        <v>26</v>
      </c>
      <c r="D56" s="82">
        <v>19</v>
      </c>
      <c r="E56" s="83">
        <f t="shared" si="13"/>
        <v>-26.923076923076923</v>
      </c>
      <c r="F56" s="82">
        <v>25</v>
      </c>
      <c r="G56" s="83">
        <f t="shared" si="7"/>
        <v>31.57894736842105</v>
      </c>
      <c r="H56" s="82">
        <v>41</v>
      </c>
      <c r="I56" s="83">
        <f t="shared" si="14"/>
        <v>64</v>
      </c>
      <c r="J56" s="82">
        <v>27</v>
      </c>
      <c r="K56" s="84">
        <f t="shared" si="8"/>
        <v>-34.146341463414636</v>
      </c>
      <c r="L56" s="111">
        <f t="shared" si="12"/>
        <v>0.0004302644851726078</v>
      </c>
      <c r="M56" s="76"/>
    </row>
    <row r="57" spans="1:13" ht="12.75">
      <c r="A57" s="121">
        <v>11</v>
      </c>
      <c r="B57" s="105" t="s">
        <v>124</v>
      </c>
      <c r="C57" s="142">
        <v>82</v>
      </c>
      <c r="D57" s="82">
        <v>213</v>
      </c>
      <c r="E57" s="83">
        <f t="shared" si="13"/>
        <v>159.7560975609756</v>
      </c>
      <c r="F57" s="82">
        <v>142</v>
      </c>
      <c r="G57" s="83">
        <f t="shared" si="7"/>
        <v>-33.33333333333333</v>
      </c>
      <c r="H57" s="82">
        <v>255</v>
      </c>
      <c r="I57" s="83">
        <f t="shared" si="14"/>
        <v>79.5774647887324</v>
      </c>
      <c r="J57" s="82">
        <v>161</v>
      </c>
      <c r="K57" s="84">
        <f t="shared" si="8"/>
        <v>-36.86274509803922</v>
      </c>
      <c r="L57" s="111">
        <f t="shared" si="12"/>
        <v>0.0025656511893625868</v>
      </c>
      <c r="M57" s="76"/>
    </row>
    <row r="58" spans="1:13" ht="12.75">
      <c r="A58" s="121">
        <v>12</v>
      </c>
      <c r="B58" s="105" t="s">
        <v>128</v>
      </c>
      <c r="C58" s="142">
        <v>68</v>
      </c>
      <c r="D58" s="82">
        <v>9</v>
      </c>
      <c r="E58" s="83">
        <f t="shared" si="13"/>
        <v>-86.76470588235294</v>
      </c>
      <c r="F58" s="82">
        <v>35</v>
      </c>
      <c r="G58" s="83">
        <f t="shared" si="7"/>
        <v>288.88888888888886</v>
      </c>
      <c r="H58" s="82">
        <v>81</v>
      </c>
      <c r="I58" s="83">
        <f t="shared" si="14"/>
        <v>131.42857142857142</v>
      </c>
      <c r="J58" s="82">
        <v>72</v>
      </c>
      <c r="K58" s="84">
        <f t="shared" si="8"/>
        <v>-11.11111111111111</v>
      </c>
      <c r="L58" s="111">
        <f t="shared" si="12"/>
        <v>0.0011473719604602874</v>
      </c>
      <c r="M58" s="76"/>
    </row>
    <row r="59" spans="1:13" ht="12.75">
      <c r="A59" s="121">
        <v>13</v>
      </c>
      <c r="B59" s="105" t="s">
        <v>126</v>
      </c>
      <c r="C59" s="142">
        <v>71</v>
      </c>
      <c r="D59" s="82">
        <v>184</v>
      </c>
      <c r="E59" s="83">
        <f t="shared" si="13"/>
        <v>159.1549295774648</v>
      </c>
      <c r="F59" s="82">
        <v>797</v>
      </c>
      <c r="G59" s="83">
        <f t="shared" si="7"/>
        <v>333.15217391304344</v>
      </c>
      <c r="H59" s="82">
        <v>600</v>
      </c>
      <c r="I59" s="83">
        <f t="shared" si="14"/>
        <v>-24.717691342534504</v>
      </c>
      <c r="J59" s="82">
        <v>593</v>
      </c>
      <c r="K59" s="84">
        <f t="shared" si="8"/>
        <v>-1.1666666666666667</v>
      </c>
      <c r="L59" s="111">
        <f t="shared" si="12"/>
        <v>0.009449882952124311</v>
      </c>
      <c r="M59" s="76"/>
    </row>
    <row r="60" spans="1:13" ht="12.75">
      <c r="A60" s="121">
        <v>14</v>
      </c>
      <c r="B60" s="105" t="s">
        <v>127</v>
      </c>
      <c r="C60" s="142">
        <v>23</v>
      </c>
      <c r="D60" s="82">
        <v>13</v>
      </c>
      <c r="E60" s="83">
        <f t="shared" si="13"/>
        <v>-43.47826086956522</v>
      </c>
      <c r="F60" s="82">
        <v>3</v>
      </c>
      <c r="G60" s="83">
        <f t="shared" si="7"/>
        <v>-76.92307692307693</v>
      </c>
      <c r="H60" s="82">
        <v>20</v>
      </c>
      <c r="I60" s="83">
        <f t="shared" si="14"/>
        <v>566.6666666666667</v>
      </c>
      <c r="J60" s="82">
        <v>9</v>
      </c>
      <c r="K60" s="84">
        <f t="shared" si="8"/>
        <v>-55.00000000000001</v>
      </c>
      <c r="L60" s="111">
        <f t="shared" si="12"/>
        <v>0.00014342149505753592</v>
      </c>
      <c r="M60" s="76"/>
    </row>
    <row r="61" spans="1:13" ht="12.75">
      <c r="A61" s="121">
        <v>15</v>
      </c>
      <c r="B61" s="105" t="s">
        <v>129</v>
      </c>
      <c r="C61" s="142">
        <v>0</v>
      </c>
      <c r="D61" s="82">
        <v>55</v>
      </c>
      <c r="E61" s="83" t="s">
        <v>244</v>
      </c>
      <c r="F61" s="82">
        <v>74</v>
      </c>
      <c r="G61" s="83" t="s">
        <v>244</v>
      </c>
      <c r="H61" s="82">
        <v>156</v>
      </c>
      <c r="I61" s="83" t="s">
        <v>244</v>
      </c>
      <c r="J61" s="82">
        <v>195</v>
      </c>
      <c r="K61" s="84" t="s">
        <v>244</v>
      </c>
      <c r="L61" s="111">
        <f t="shared" si="12"/>
        <v>0.003107465726246612</v>
      </c>
      <c r="M61" s="76"/>
    </row>
    <row r="62" spans="1:13" ht="12.75">
      <c r="A62" s="121">
        <v>16</v>
      </c>
      <c r="B62" s="105" t="s">
        <v>130</v>
      </c>
      <c r="C62" s="142">
        <v>510</v>
      </c>
      <c r="D62" s="82">
        <v>1120</v>
      </c>
      <c r="E62" s="83">
        <f t="shared" si="13"/>
        <v>119.6078431372549</v>
      </c>
      <c r="F62" s="82">
        <v>1506</v>
      </c>
      <c r="G62" s="83">
        <f t="shared" si="7"/>
        <v>34.464285714285715</v>
      </c>
      <c r="H62" s="82">
        <v>2439</v>
      </c>
      <c r="I62" s="83">
        <f t="shared" si="14"/>
        <v>61.952191235059765</v>
      </c>
      <c r="J62" s="82">
        <v>1917</v>
      </c>
      <c r="K62" s="84">
        <f t="shared" si="8"/>
        <v>-21.40221402214022</v>
      </c>
      <c r="L62" s="111">
        <f t="shared" si="12"/>
        <v>0.030548778447255148</v>
      </c>
      <c r="M62" s="76"/>
    </row>
    <row r="63" spans="1:13" ht="12.75">
      <c r="A63" s="121">
        <v>17</v>
      </c>
      <c r="B63" s="105" t="s">
        <v>134</v>
      </c>
      <c r="C63" s="142">
        <v>43</v>
      </c>
      <c r="D63" s="82">
        <v>87</v>
      </c>
      <c r="E63" s="83">
        <f t="shared" si="13"/>
        <v>102.32558139534885</v>
      </c>
      <c r="F63" s="82">
        <v>111</v>
      </c>
      <c r="G63" s="83">
        <f t="shared" si="7"/>
        <v>27.586206896551722</v>
      </c>
      <c r="H63" s="82">
        <f>63+238</f>
        <v>301</v>
      </c>
      <c r="I63" s="83">
        <f t="shared" si="14"/>
        <v>171.17117117117118</v>
      </c>
      <c r="J63" s="82">
        <v>197</v>
      </c>
      <c r="K63" s="84">
        <f t="shared" si="8"/>
        <v>-34.55149501661129</v>
      </c>
      <c r="L63" s="111">
        <f t="shared" si="12"/>
        <v>0.0031393371695927308</v>
      </c>
      <c r="M63" s="76"/>
    </row>
    <row r="64" spans="1:15" ht="12.75">
      <c r="A64" s="121">
        <v>18</v>
      </c>
      <c r="B64" s="105" t="s">
        <v>132</v>
      </c>
      <c r="C64" s="142">
        <v>5</v>
      </c>
      <c r="D64" s="82">
        <v>35</v>
      </c>
      <c r="E64" s="83" t="s">
        <v>244</v>
      </c>
      <c r="F64" s="82">
        <v>14</v>
      </c>
      <c r="G64" s="83" t="s">
        <v>244</v>
      </c>
      <c r="H64" s="82"/>
      <c r="I64" s="83" t="s">
        <v>244</v>
      </c>
      <c r="J64" s="142">
        <v>0</v>
      </c>
      <c r="K64" s="84" t="e">
        <f t="shared" si="8"/>
        <v>#DIV/0!</v>
      </c>
      <c r="L64" s="111">
        <f t="shared" si="12"/>
        <v>0</v>
      </c>
      <c r="M64" s="76"/>
      <c r="O64" s="4">
        <f>54491-J84</f>
        <v>-11983</v>
      </c>
    </row>
    <row r="65" spans="1:13" ht="12.75">
      <c r="A65" s="121">
        <v>19</v>
      </c>
      <c r="B65" s="105" t="s">
        <v>133</v>
      </c>
      <c r="C65" s="142">
        <v>14</v>
      </c>
      <c r="D65" s="82">
        <v>54</v>
      </c>
      <c r="E65" s="83" t="s">
        <v>244</v>
      </c>
      <c r="F65" s="82">
        <v>49</v>
      </c>
      <c r="G65" s="83" t="s">
        <v>244</v>
      </c>
      <c r="H65" s="82">
        <v>107</v>
      </c>
      <c r="I65" s="83">
        <f t="shared" si="14"/>
        <v>118.36734693877551</v>
      </c>
      <c r="J65" s="82">
        <v>94</v>
      </c>
      <c r="K65" s="84">
        <f t="shared" si="8"/>
        <v>-12.149532710280374</v>
      </c>
      <c r="L65" s="111">
        <f t="shared" si="12"/>
        <v>0.0014979578372675973</v>
      </c>
      <c r="M65" s="76"/>
    </row>
    <row r="66" spans="1:13" ht="12.75">
      <c r="A66" s="121">
        <v>20</v>
      </c>
      <c r="B66" s="105" t="s">
        <v>135</v>
      </c>
      <c r="C66" s="142">
        <v>2184</v>
      </c>
      <c r="D66" s="82">
        <v>2877</v>
      </c>
      <c r="E66" s="83">
        <f t="shared" si="13"/>
        <v>31.73076923076923</v>
      </c>
      <c r="F66" s="82">
        <v>4352</v>
      </c>
      <c r="G66" s="83">
        <f t="shared" si="7"/>
        <v>51.26868265554398</v>
      </c>
      <c r="H66" s="82">
        <v>5382</v>
      </c>
      <c r="I66" s="83">
        <f t="shared" si="14"/>
        <v>23.667279411764707</v>
      </c>
      <c r="J66" s="82">
        <v>8265</v>
      </c>
      <c r="K66" s="84">
        <f t="shared" si="8"/>
        <v>53.567447045707915</v>
      </c>
      <c r="L66" s="111">
        <f t="shared" si="12"/>
        <v>0.13170873962783716</v>
      </c>
      <c r="M66" s="76"/>
    </row>
    <row r="67" spans="1:13" ht="12.75">
      <c r="A67" s="121">
        <v>21</v>
      </c>
      <c r="B67" s="105" t="s">
        <v>131</v>
      </c>
      <c r="C67" s="142">
        <v>789</v>
      </c>
      <c r="D67" s="82">
        <v>77</v>
      </c>
      <c r="E67" s="83">
        <f t="shared" si="13"/>
        <v>-90.24081115335868</v>
      </c>
      <c r="F67" s="82">
        <v>403</v>
      </c>
      <c r="G67" s="83">
        <f t="shared" si="7"/>
        <v>423.3766233766234</v>
      </c>
      <c r="H67" s="82">
        <v>64</v>
      </c>
      <c r="I67" s="83">
        <f t="shared" si="14"/>
        <v>-84.11910669975185</v>
      </c>
      <c r="J67" s="82">
        <f>35+3255</f>
        <v>3290</v>
      </c>
      <c r="K67" s="84">
        <f t="shared" si="8"/>
        <v>5040.625</v>
      </c>
      <c r="L67" s="111">
        <f t="shared" si="12"/>
        <v>0.052428524304365905</v>
      </c>
      <c r="M67" s="76"/>
    </row>
    <row r="68" spans="1:13" ht="12.75">
      <c r="A68" s="121">
        <v>22</v>
      </c>
      <c r="B68" s="105" t="s">
        <v>136</v>
      </c>
      <c r="C68" s="142">
        <v>129</v>
      </c>
      <c r="D68" s="82">
        <v>154</v>
      </c>
      <c r="E68" s="83">
        <f t="shared" si="13"/>
        <v>19.379844961240313</v>
      </c>
      <c r="F68" s="82">
        <v>216</v>
      </c>
      <c r="G68" s="83">
        <f t="shared" si="7"/>
        <v>40.25974025974026</v>
      </c>
      <c r="H68" s="82">
        <v>258</v>
      </c>
      <c r="I68" s="83">
        <f t="shared" si="14"/>
        <v>19.444444444444446</v>
      </c>
      <c r="J68" s="82">
        <v>260</v>
      </c>
      <c r="K68" s="84">
        <f t="shared" si="8"/>
        <v>0.7751937984496124</v>
      </c>
      <c r="L68" s="111">
        <f t="shared" si="12"/>
        <v>0.004143287634995482</v>
      </c>
      <c r="M68" s="76"/>
    </row>
    <row r="69" spans="1:13" ht="12.75">
      <c r="A69" s="121">
        <v>23</v>
      </c>
      <c r="B69" s="105" t="s">
        <v>137</v>
      </c>
      <c r="C69" s="142">
        <v>141</v>
      </c>
      <c r="D69" s="82">
        <v>143</v>
      </c>
      <c r="E69" s="83">
        <f t="shared" si="13"/>
        <v>1.4184397163120568</v>
      </c>
      <c r="F69" s="82">
        <v>288</v>
      </c>
      <c r="G69" s="83">
        <f t="shared" si="7"/>
        <v>101.3986013986014</v>
      </c>
      <c r="H69" s="82">
        <v>417</v>
      </c>
      <c r="I69" s="83">
        <f t="shared" si="14"/>
        <v>44.79166666666667</v>
      </c>
      <c r="J69" s="82">
        <v>470</v>
      </c>
      <c r="K69" s="84">
        <f t="shared" si="8"/>
        <v>12.709832134292565</v>
      </c>
      <c r="L69" s="111">
        <f t="shared" si="12"/>
        <v>0.007489789186337987</v>
      </c>
      <c r="M69" s="76"/>
    </row>
    <row r="70" spans="1:13" ht="12.75">
      <c r="A70" s="121">
        <v>24</v>
      </c>
      <c r="B70" s="105" t="s">
        <v>138</v>
      </c>
      <c r="C70" s="142">
        <v>329</v>
      </c>
      <c r="D70" s="82">
        <v>317</v>
      </c>
      <c r="E70" s="83">
        <f t="shared" si="13"/>
        <v>-3.64741641337386</v>
      </c>
      <c r="F70" s="82">
        <v>418</v>
      </c>
      <c r="G70" s="83">
        <f t="shared" si="7"/>
        <v>31.861198738170348</v>
      </c>
      <c r="H70" s="82">
        <v>292</v>
      </c>
      <c r="I70" s="83">
        <f t="shared" si="14"/>
        <v>-30.14354066985646</v>
      </c>
      <c r="J70" s="82">
        <v>143</v>
      </c>
      <c r="K70" s="84">
        <f t="shared" si="8"/>
        <v>-51.02739726027398</v>
      </c>
      <c r="L70" s="111">
        <f t="shared" si="12"/>
        <v>0.0022788081992475154</v>
      </c>
      <c r="M70" s="76"/>
    </row>
    <row r="71" spans="1:13" ht="12.75">
      <c r="A71" s="121">
        <v>25</v>
      </c>
      <c r="B71" s="105" t="s">
        <v>139</v>
      </c>
      <c r="C71" s="142">
        <v>98</v>
      </c>
      <c r="D71" s="82">
        <v>28</v>
      </c>
      <c r="E71" s="83">
        <f t="shared" si="13"/>
        <v>-71.42857142857143</v>
      </c>
      <c r="F71" s="82">
        <v>335</v>
      </c>
      <c r="G71" s="83">
        <f t="shared" si="7"/>
        <v>1096.4285714285713</v>
      </c>
      <c r="H71" s="82">
        <v>85</v>
      </c>
      <c r="I71" s="83">
        <f t="shared" si="14"/>
        <v>-74.6268656716418</v>
      </c>
      <c r="J71" s="82">
        <v>70</v>
      </c>
      <c r="K71" s="84">
        <f t="shared" si="8"/>
        <v>-17.647058823529413</v>
      </c>
      <c r="L71" s="111">
        <f t="shared" si="12"/>
        <v>0.0011155005171141683</v>
      </c>
      <c r="M71" s="76"/>
    </row>
    <row r="72" spans="1:13" ht="12.75">
      <c r="A72" s="121">
        <v>26</v>
      </c>
      <c r="B72" s="105" t="s">
        <v>140</v>
      </c>
      <c r="C72" s="142">
        <v>70</v>
      </c>
      <c r="D72" s="82">
        <v>128</v>
      </c>
      <c r="E72" s="83">
        <f t="shared" si="13"/>
        <v>82.85714285714286</v>
      </c>
      <c r="F72" s="82">
        <v>94</v>
      </c>
      <c r="G72" s="83">
        <f t="shared" si="7"/>
        <v>-26.5625</v>
      </c>
      <c r="H72" s="82">
        <v>241</v>
      </c>
      <c r="I72" s="83">
        <f t="shared" si="14"/>
        <v>156.38297872340425</v>
      </c>
      <c r="J72" s="82">
        <v>231</v>
      </c>
      <c r="K72" s="84">
        <f t="shared" si="8"/>
        <v>-4.149377593360995</v>
      </c>
      <c r="L72" s="111">
        <f t="shared" si="12"/>
        <v>0.0036811517064767553</v>
      </c>
      <c r="M72" s="76"/>
    </row>
    <row r="73" spans="1:13" ht="12.75">
      <c r="A73" s="121">
        <v>27</v>
      </c>
      <c r="B73" s="105" t="s">
        <v>141</v>
      </c>
      <c r="C73" s="142">
        <v>74</v>
      </c>
      <c r="D73" s="82">
        <v>124</v>
      </c>
      <c r="E73" s="83">
        <f t="shared" si="13"/>
        <v>67.56756756756756</v>
      </c>
      <c r="F73" s="82">
        <v>174</v>
      </c>
      <c r="G73" s="83">
        <f t="shared" si="7"/>
        <v>40.32258064516129</v>
      </c>
      <c r="H73" s="82">
        <v>252</v>
      </c>
      <c r="I73" s="83">
        <f t="shared" si="14"/>
        <v>44.827586206896555</v>
      </c>
      <c r="J73" s="82">
        <v>260</v>
      </c>
      <c r="K73" s="84">
        <f t="shared" si="8"/>
        <v>3.1746031746031744</v>
      </c>
      <c r="L73" s="111">
        <f t="shared" si="12"/>
        <v>0.004143287634995482</v>
      </c>
      <c r="M73" s="76"/>
    </row>
    <row r="74" spans="1:13" ht="12.75">
      <c r="A74" s="121">
        <v>28</v>
      </c>
      <c r="B74" s="105" t="s">
        <v>143</v>
      </c>
      <c r="C74" s="142">
        <v>284</v>
      </c>
      <c r="D74" s="82">
        <v>24</v>
      </c>
      <c r="E74" s="83">
        <f t="shared" si="13"/>
        <v>-91.54929577464789</v>
      </c>
      <c r="F74" s="82">
        <v>95</v>
      </c>
      <c r="G74" s="83">
        <f t="shared" si="7"/>
        <v>295.83333333333337</v>
      </c>
      <c r="H74" s="82">
        <v>104</v>
      </c>
      <c r="I74" s="83">
        <f t="shared" si="14"/>
        <v>9.473684210526317</v>
      </c>
      <c r="J74" s="82">
        <v>58</v>
      </c>
      <c r="K74" s="84">
        <f t="shared" si="8"/>
        <v>-44.230769230769226</v>
      </c>
      <c r="L74" s="111">
        <f t="shared" si="12"/>
        <v>0.0009242718570374538</v>
      </c>
      <c r="M74" s="76"/>
    </row>
    <row r="75" spans="1:13" ht="12.75">
      <c r="A75" s="121">
        <v>29</v>
      </c>
      <c r="B75" s="105" t="s">
        <v>142</v>
      </c>
      <c r="C75" s="142">
        <v>25</v>
      </c>
      <c r="D75" s="82">
        <v>1</v>
      </c>
      <c r="E75" s="83">
        <f t="shared" si="13"/>
        <v>-96</v>
      </c>
      <c r="F75" s="82">
        <v>4</v>
      </c>
      <c r="G75" s="83">
        <f t="shared" si="7"/>
        <v>300</v>
      </c>
      <c r="H75" s="82">
        <v>4</v>
      </c>
      <c r="I75" s="83">
        <f t="shared" si="14"/>
        <v>0</v>
      </c>
      <c r="J75" s="82">
        <v>3</v>
      </c>
      <c r="K75" s="84">
        <f t="shared" si="8"/>
        <v>-25</v>
      </c>
      <c r="L75" s="111">
        <f t="shared" si="12"/>
        <v>4.780716501917864E-05</v>
      </c>
      <c r="M75" s="76"/>
    </row>
    <row r="76" spans="1:13" ht="12.75">
      <c r="A76" s="121">
        <v>30</v>
      </c>
      <c r="B76" s="105" t="s">
        <v>116</v>
      </c>
      <c r="C76" s="142">
        <v>13795</v>
      </c>
      <c r="D76" s="82">
        <v>18372</v>
      </c>
      <c r="E76" s="83">
        <f t="shared" si="13"/>
        <v>33.178687930409566</v>
      </c>
      <c r="F76" s="82">
        <v>27209</v>
      </c>
      <c r="G76" s="83">
        <f t="shared" si="7"/>
        <v>48.10037012845635</v>
      </c>
      <c r="H76" s="82">
        <v>34301</v>
      </c>
      <c r="I76" s="83">
        <f t="shared" si="14"/>
        <v>26.06490499467088</v>
      </c>
      <c r="J76" s="82">
        <v>39917</v>
      </c>
      <c r="K76" s="84">
        <f t="shared" si="8"/>
        <v>16.372700504358473</v>
      </c>
      <c r="L76" s="111">
        <f t="shared" si="12"/>
        <v>0.636106202023518</v>
      </c>
      <c r="M76" s="76"/>
    </row>
    <row r="77" spans="1:13" ht="12.75">
      <c r="A77" s="121">
        <v>31</v>
      </c>
      <c r="B77" s="105" t="s">
        <v>144</v>
      </c>
      <c r="C77" s="142">
        <v>0</v>
      </c>
      <c r="D77" s="82">
        <v>23</v>
      </c>
      <c r="E77" s="83" t="s">
        <v>244</v>
      </c>
      <c r="F77" s="82">
        <v>50</v>
      </c>
      <c r="G77" s="83" t="s">
        <v>244</v>
      </c>
      <c r="H77" s="82">
        <v>117</v>
      </c>
      <c r="I77" s="83" t="s">
        <v>244</v>
      </c>
      <c r="J77" s="142">
        <v>207</v>
      </c>
      <c r="K77" s="142">
        <v>0</v>
      </c>
      <c r="L77" s="111">
        <f t="shared" si="12"/>
        <v>0.003298694386323326</v>
      </c>
      <c r="M77" s="76"/>
    </row>
    <row r="78" spans="1:13" ht="12.75">
      <c r="A78" s="121">
        <v>32</v>
      </c>
      <c r="B78" s="105" t="s">
        <v>145</v>
      </c>
      <c r="C78" s="142">
        <v>195</v>
      </c>
      <c r="D78" s="82">
        <v>256</v>
      </c>
      <c r="E78" s="83">
        <f t="shared" si="13"/>
        <v>31.28205128205128</v>
      </c>
      <c r="F78" s="82">
        <v>321</v>
      </c>
      <c r="G78" s="83">
        <f t="shared" si="7"/>
        <v>25.390625</v>
      </c>
      <c r="H78" s="82">
        <v>580</v>
      </c>
      <c r="I78" s="83">
        <f t="shared" si="14"/>
        <v>80.68535825545172</v>
      </c>
      <c r="J78" s="82">
        <v>569</v>
      </c>
      <c r="K78" s="84">
        <f t="shared" si="8"/>
        <v>-1.896551724137931</v>
      </c>
      <c r="L78" s="111">
        <f t="shared" si="12"/>
        <v>0.009067425631970882</v>
      </c>
      <c r="M78" s="76"/>
    </row>
    <row r="79" spans="1:13" ht="12.75">
      <c r="A79" s="121">
        <v>33</v>
      </c>
      <c r="B79" s="105" t="s">
        <v>146</v>
      </c>
      <c r="C79" s="142">
        <v>1416</v>
      </c>
      <c r="D79" s="82">
        <v>1839</v>
      </c>
      <c r="E79" s="83">
        <f t="shared" si="13"/>
        <v>29.8728813559322</v>
      </c>
      <c r="F79" s="82">
        <v>2619</v>
      </c>
      <c r="G79" s="83">
        <f t="shared" si="7"/>
        <v>42.41435562805872</v>
      </c>
      <c r="H79" s="82">
        <v>3210</v>
      </c>
      <c r="I79" s="83">
        <f t="shared" si="14"/>
        <v>22.565864833906073</v>
      </c>
      <c r="J79" s="82">
        <v>3292</v>
      </c>
      <c r="K79" s="84">
        <f t="shared" si="8"/>
        <v>2.554517133956386</v>
      </c>
      <c r="L79" s="111">
        <f t="shared" si="12"/>
        <v>0.052460395747712024</v>
      </c>
      <c r="M79" s="76"/>
    </row>
    <row r="80" spans="1:13" ht="12.75">
      <c r="A80" s="121">
        <v>34</v>
      </c>
      <c r="B80" s="105" t="s">
        <v>147</v>
      </c>
      <c r="C80" s="142">
        <v>83</v>
      </c>
      <c r="D80" s="82">
        <v>240</v>
      </c>
      <c r="E80" s="83">
        <f t="shared" si="13"/>
        <v>189.15662650602408</v>
      </c>
      <c r="F80" s="82">
        <v>319</v>
      </c>
      <c r="G80" s="83">
        <f t="shared" si="7"/>
        <v>32.916666666666664</v>
      </c>
      <c r="H80" s="82">
        <v>474</v>
      </c>
      <c r="I80" s="83">
        <f t="shared" si="14"/>
        <v>48.589341692789965</v>
      </c>
      <c r="J80" s="82">
        <v>423</v>
      </c>
      <c r="K80" s="84">
        <f t="shared" si="8"/>
        <v>-10.759493670886076</v>
      </c>
      <c r="L80" s="111">
        <f t="shared" si="12"/>
        <v>0.006740810267704188</v>
      </c>
      <c r="M80" s="76"/>
    </row>
    <row r="81" spans="1:13" ht="12.75">
      <c r="A81" s="121">
        <v>35</v>
      </c>
      <c r="B81" s="105" t="s">
        <v>150</v>
      </c>
      <c r="C81" s="142">
        <v>0</v>
      </c>
      <c r="D81" s="142">
        <v>0</v>
      </c>
      <c r="E81" s="83" t="s">
        <v>244</v>
      </c>
      <c r="F81" s="83" t="s">
        <v>244</v>
      </c>
      <c r="G81" s="83" t="s">
        <v>244</v>
      </c>
      <c r="H81" s="142">
        <v>0</v>
      </c>
      <c r="I81" s="83" t="s">
        <v>244</v>
      </c>
      <c r="J81" s="142">
        <v>0</v>
      </c>
      <c r="K81" s="84" t="s">
        <v>244</v>
      </c>
      <c r="L81" s="111">
        <v>0</v>
      </c>
      <c r="M81" s="76"/>
    </row>
    <row r="82" spans="1:13" ht="12.75">
      <c r="A82" s="121">
        <v>36</v>
      </c>
      <c r="B82" s="105" t="s">
        <v>149</v>
      </c>
      <c r="C82" s="142">
        <v>78</v>
      </c>
      <c r="D82" s="82">
        <v>151</v>
      </c>
      <c r="E82" s="83">
        <f t="shared" si="13"/>
        <v>93.58974358974359</v>
      </c>
      <c r="F82" s="82">
        <v>187</v>
      </c>
      <c r="G82" s="83">
        <f t="shared" si="7"/>
        <v>23.841059602649008</v>
      </c>
      <c r="H82" s="82">
        <v>304</v>
      </c>
      <c r="I82" s="83">
        <f t="shared" si="14"/>
        <v>62.56684491978609</v>
      </c>
      <c r="J82" s="82">
        <v>303</v>
      </c>
      <c r="K82" s="84">
        <f t="shared" si="8"/>
        <v>-0.3289473684210526</v>
      </c>
      <c r="L82" s="111">
        <f t="shared" si="12"/>
        <v>0.004828523666937042</v>
      </c>
      <c r="M82" s="76"/>
    </row>
    <row r="83" spans="1:13" ht="12.75">
      <c r="A83" s="121">
        <v>37</v>
      </c>
      <c r="B83" s="105" t="s">
        <v>148</v>
      </c>
      <c r="C83" s="142">
        <v>199</v>
      </c>
      <c r="D83" s="82">
        <v>407</v>
      </c>
      <c r="E83" s="83">
        <f t="shared" si="13"/>
        <v>104.52261306532664</v>
      </c>
      <c r="F83" s="82">
        <v>654</v>
      </c>
      <c r="G83" s="83">
        <f t="shared" si="7"/>
        <v>60.68796068796068</v>
      </c>
      <c r="H83" s="82">
        <v>920</v>
      </c>
      <c r="I83" s="83">
        <f t="shared" si="14"/>
        <v>40.67278287461774</v>
      </c>
      <c r="J83" s="82">
        <v>1352</v>
      </c>
      <c r="K83" s="84">
        <f t="shared" si="8"/>
        <v>46.95652173913044</v>
      </c>
      <c r="L83" s="111">
        <f t="shared" si="12"/>
        <v>0.021545095701976505</v>
      </c>
      <c r="M83" s="76"/>
    </row>
    <row r="84" spans="1:13" ht="13.5" thickBot="1">
      <c r="A84" s="133"/>
      <c r="B84" s="134" t="s">
        <v>151</v>
      </c>
      <c r="C84" s="146">
        <f>SUM(C47:C83)</f>
        <v>21378</v>
      </c>
      <c r="D84" s="146">
        <f>SUM(D47:D83)</f>
        <v>29120</v>
      </c>
      <c r="E84" s="129">
        <f>SUM(D84-C84)/C84*100</f>
        <v>36.21480026195154</v>
      </c>
      <c r="F84" s="146">
        <f>SUM(F47:F83)</f>
        <v>43141</v>
      </c>
      <c r="G84" s="129">
        <f>SUM(F84-D84)/D84*100</f>
        <v>48.14903846153846</v>
      </c>
      <c r="H84" s="146">
        <f>SUM(H47:H83)</f>
        <v>54491</v>
      </c>
      <c r="I84" s="130">
        <f>(H84-F84)/F84*100</f>
        <v>26.309079529913536</v>
      </c>
      <c r="J84" s="128">
        <f>SUM(J47:J83)</f>
        <v>66474</v>
      </c>
      <c r="K84" s="128">
        <f>(J84-H84)/H84*100</f>
        <v>21.990787469490375</v>
      </c>
      <c r="L84" s="131">
        <f t="shared" si="12"/>
        <v>1.0593111624949603</v>
      </c>
      <c r="M84" s="76"/>
    </row>
    <row r="85" spans="1:13" ht="14.25" thickBot="1" thickTop="1">
      <c r="A85" s="112" t="s">
        <v>52</v>
      </c>
      <c r="B85" s="102" t="s">
        <v>8</v>
      </c>
      <c r="C85" s="177"/>
      <c r="D85" s="178"/>
      <c r="E85" s="178"/>
      <c r="F85" s="178"/>
      <c r="G85" s="178"/>
      <c r="H85" s="178"/>
      <c r="I85" s="178"/>
      <c r="J85" s="178"/>
      <c r="K85" s="178"/>
      <c r="L85" s="179"/>
      <c r="M85" s="76"/>
    </row>
    <row r="86" spans="1:13" ht="13.5" thickTop="1">
      <c r="A86" s="122">
        <v>1</v>
      </c>
      <c r="B86" s="106" t="s">
        <v>81</v>
      </c>
      <c r="C86" s="147">
        <v>3850</v>
      </c>
      <c r="D86" s="135">
        <v>6616</v>
      </c>
      <c r="E86" s="163">
        <f aca="true" t="shared" si="15" ref="E86:E117">SUM(D86-C86)/C86*100</f>
        <v>71.84415584415585</v>
      </c>
      <c r="F86" s="135">
        <v>12033</v>
      </c>
      <c r="G86" s="164">
        <f aca="true" t="shared" si="16" ref="G86:G117">SUM(F86-D86)/D86*100</f>
        <v>81.87726723095527</v>
      </c>
      <c r="H86" s="135">
        <v>9351</v>
      </c>
      <c r="I86" s="165">
        <f>SUM(H86-F86)/F86*100</f>
        <v>-22.288706058339567</v>
      </c>
      <c r="J86" s="135">
        <v>7732</v>
      </c>
      <c r="K86" s="166">
        <f aca="true" t="shared" si="17" ref="K86:K117">(J86-H86)/H86*100</f>
        <v>-17.313656293444552</v>
      </c>
      <c r="L86" s="167">
        <f aca="true" t="shared" si="18" ref="L86:L118">J86/$J$197*100</f>
        <v>0.12321499997609642</v>
      </c>
      <c r="M86" s="76"/>
    </row>
    <row r="87" spans="1:13" ht="12.75">
      <c r="A87" s="122">
        <v>2</v>
      </c>
      <c r="B87" s="105" t="s">
        <v>80</v>
      </c>
      <c r="C87" s="148">
        <v>133763</v>
      </c>
      <c r="D87" s="107">
        <v>170457</v>
      </c>
      <c r="E87" s="164">
        <f t="shared" si="15"/>
        <v>27.432100057564497</v>
      </c>
      <c r="F87" s="107">
        <v>191106</v>
      </c>
      <c r="G87" s="164">
        <f t="shared" si="16"/>
        <v>12.113905559759939</v>
      </c>
      <c r="H87" s="107">
        <v>236578</v>
      </c>
      <c r="I87" s="166">
        <f aca="true" t="shared" si="19" ref="I87:I117">SUM(H87-F87)/F87*100</f>
        <v>23.794124726591527</v>
      </c>
      <c r="J87" s="107">
        <v>276511</v>
      </c>
      <c r="K87" s="166">
        <f t="shared" si="17"/>
        <v>16.879422431502505</v>
      </c>
      <c r="L87" s="167">
        <f t="shared" si="18"/>
        <v>4.406402335539369</v>
      </c>
      <c r="M87" s="76"/>
    </row>
    <row r="88" spans="1:13" ht="12.75">
      <c r="A88" s="122">
        <v>3</v>
      </c>
      <c r="B88" s="105" t="s">
        <v>153</v>
      </c>
      <c r="C88" s="148">
        <v>15</v>
      </c>
      <c r="D88" s="107">
        <v>30</v>
      </c>
      <c r="E88" s="164">
        <f t="shared" si="15"/>
        <v>100</v>
      </c>
      <c r="F88" s="107">
        <v>134</v>
      </c>
      <c r="G88" s="164">
        <f t="shared" si="16"/>
        <v>346.6666666666667</v>
      </c>
      <c r="H88" s="107">
        <v>99</v>
      </c>
      <c r="I88" s="166">
        <f t="shared" si="19"/>
        <v>-26.119402985074625</v>
      </c>
      <c r="J88" s="107">
        <v>98</v>
      </c>
      <c r="K88" s="166">
        <f t="shared" si="17"/>
        <v>-1.0101010101010102</v>
      </c>
      <c r="L88" s="167">
        <f t="shared" si="18"/>
        <v>0.0015617007239598355</v>
      </c>
      <c r="M88" s="76"/>
    </row>
    <row r="89" spans="1:13" ht="12.75">
      <c r="A89" s="122">
        <v>4</v>
      </c>
      <c r="B89" s="105" t="s">
        <v>154</v>
      </c>
      <c r="C89" s="148">
        <v>35</v>
      </c>
      <c r="D89" s="107">
        <v>40</v>
      </c>
      <c r="E89" s="164">
        <f t="shared" si="15"/>
        <v>14.285714285714285</v>
      </c>
      <c r="F89" s="107">
        <v>72</v>
      </c>
      <c r="G89" s="164">
        <f t="shared" si="16"/>
        <v>80</v>
      </c>
      <c r="H89" s="107">
        <v>90</v>
      </c>
      <c r="I89" s="166">
        <f t="shared" si="19"/>
        <v>25</v>
      </c>
      <c r="J89" s="107">
        <v>90</v>
      </c>
      <c r="K89" s="166">
        <f t="shared" si="17"/>
        <v>0</v>
      </c>
      <c r="L89" s="167">
        <f>J89/$J$197*100</f>
        <v>0.0014342149505753594</v>
      </c>
      <c r="M89" s="76"/>
    </row>
    <row r="90" spans="1:13" ht="12.75">
      <c r="A90" s="122">
        <v>5</v>
      </c>
      <c r="B90" s="105" t="s">
        <v>152</v>
      </c>
      <c r="C90" s="148">
        <v>3</v>
      </c>
      <c r="D90" s="148">
        <v>0</v>
      </c>
      <c r="E90" s="164">
        <f t="shared" si="15"/>
        <v>-100</v>
      </c>
      <c r="F90" s="148">
        <v>6</v>
      </c>
      <c r="G90" s="164" t="e">
        <f t="shared" si="16"/>
        <v>#DIV/0!</v>
      </c>
      <c r="H90" s="148">
        <v>10</v>
      </c>
      <c r="I90" s="166">
        <v>0</v>
      </c>
      <c r="J90" s="148">
        <v>51</v>
      </c>
      <c r="K90" s="166">
        <f t="shared" si="17"/>
        <v>409.99999999999994</v>
      </c>
      <c r="L90" s="167">
        <f t="shared" si="18"/>
        <v>0.000812721805326037</v>
      </c>
      <c r="M90" s="76"/>
    </row>
    <row r="91" spans="1:13" ht="12.75">
      <c r="A91" s="122">
        <v>6</v>
      </c>
      <c r="B91" s="105" t="s">
        <v>155</v>
      </c>
      <c r="C91" s="148">
        <v>85</v>
      </c>
      <c r="D91" s="107">
        <v>184</v>
      </c>
      <c r="E91" s="164">
        <f t="shared" si="15"/>
        <v>116.47058823529413</v>
      </c>
      <c r="F91" s="107">
        <v>216</v>
      </c>
      <c r="G91" s="164">
        <f t="shared" si="16"/>
        <v>17.391304347826086</v>
      </c>
      <c r="H91" s="107">
        <v>330</v>
      </c>
      <c r="I91" s="166">
        <f t="shared" si="19"/>
        <v>52.77777777777778</v>
      </c>
      <c r="J91" s="107">
        <v>323</v>
      </c>
      <c r="K91" s="166">
        <f t="shared" si="17"/>
        <v>-2.1212121212121215</v>
      </c>
      <c r="L91" s="167">
        <f t="shared" si="18"/>
        <v>0.005147238100398233</v>
      </c>
      <c r="M91" s="76"/>
    </row>
    <row r="92" spans="1:13" ht="12.75">
      <c r="A92" s="122">
        <v>7</v>
      </c>
      <c r="B92" s="105" t="s">
        <v>82</v>
      </c>
      <c r="C92" s="148">
        <v>14388</v>
      </c>
      <c r="D92" s="107">
        <v>15796</v>
      </c>
      <c r="E92" s="164">
        <f t="shared" si="15"/>
        <v>9.785932721712538</v>
      </c>
      <c r="F92" s="107">
        <v>22807</v>
      </c>
      <c r="G92" s="164">
        <f t="shared" si="16"/>
        <v>44.38465434287161</v>
      </c>
      <c r="H92" s="107">
        <v>20994</v>
      </c>
      <c r="I92" s="166">
        <f t="shared" si="19"/>
        <v>-7.949313807164467</v>
      </c>
      <c r="J92" s="107">
        <v>21978</v>
      </c>
      <c r="K92" s="166">
        <f t="shared" si="17"/>
        <v>4.687053443841097</v>
      </c>
      <c r="L92" s="167">
        <f t="shared" si="18"/>
        <v>0.35023529093050276</v>
      </c>
      <c r="M92" s="76"/>
    </row>
    <row r="93" spans="1:13" ht="12.75">
      <c r="A93" s="122">
        <v>8</v>
      </c>
      <c r="B93" s="105" t="s">
        <v>83</v>
      </c>
      <c r="C93" s="148">
        <v>44884</v>
      </c>
      <c r="D93" s="107">
        <v>53756</v>
      </c>
      <c r="E93" s="164">
        <f t="shared" si="15"/>
        <v>19.766509223776847</v>
      </c>
      <c r="F93" s="107">
        <v>63385</v>
      </c>
      <c r="G93" s="164">
        <f t="shared" si="16"/>
        <v>17.912419078800507</v>
      </c>
      <c r="H93" s="107">
        <v>66619</v>
      </c>
      <c r="I93" s="166">
        <f t="shared" si="19"/>
        <v>5.102153506350083</v>
      </c>
      <c r="J93" s="107">
        <v>73727</v>
      </c>
      <c r="K93" s="166">
        <f t="shared" si="17"/>
        <v>10.669628784580976</v>
      </c>
      <c r="L93" s="167">
        <f t="shared" si="18"/>
        <v>1.1748929517896614</v>
      </c>
      <c r="M93" s="76"/>
    </row>
    <row r="94" spans="1:13" ht="12.75">
      <c r="A94" s="122">
        <v>9</v>
      </c>
      <c r="B94" s="105" t="s">
        <v>158</v>
      </c>
      <c r="C94" s="148">
        <v>5113</v>
      </c>
      <c r="D94" s="107">
        <v>7462</v>
      </c>
      <c r="E94" s="164">
        <f t="shared" si="15"/>
        <v>45.94171719147271</v>
      </c>
      <c r="F94" s="107">
        <v>7505</v>
      </c>
      <c r="G94" s="164">
        <f t="shared" si="16"/>
        <v>0.5762530152774056</v>
      </c>
      <c r="H94" s="107">
        <v>9590</v>
      </c>
      <c r="I94" s="166">
        <f t="shared" si="19"/>
        <v>27.781479013990673</v>
      </c>
      <c r="J94" s="107">
        <v>8602</v>
      </c>
      <c r="K94" s="166">
        <f t="shared" si="17"/>
        <v>-10.302398331595413</v>
      </c>
      <c r="L94" s="167">
        <f t="shared" si="18"/>
        <v>0.1370790778316582</v>
      </c>
      <c r="M94" s="76"/>
    </row>
    <row r="95" spans="1:13" ht="12.75">
      <c r="A95" s="122">
        <v>10</v>
      </c>
      <c r="B95" s="105" t="s">
        <v>166</v>
      </c>
      <c r="C95" s="148">
        <v>1782</v>
      </c>
      <c r="D95" s="107">
        <v>2451</v>
      </c>
      <c r="E95" s="164">
        <f t="shared" si="15"/>
        <v>37.54208754208754</v>
      </c>
      <c r="F95" s="107">
        <v>3367</v>
      </c>
      <c r="G95" s="164">
        <f t="shared" si="16"/>
        <v>37.37250101999184</v>
      </c>
      <c r="H95" s="107">
        <v>4406</v>
      </c>
      <c r="I95" s="166">
        <f t="shared" si="19"/>
        <v>30.858330858330856</v>
      </c>
      <c r="J95" s="107">
        <v>5174</v>
      </c>
      <c r="K95" s="166">
        <f t="shared" si="17"/>
        <v>17.430776214253292</v>
      </c>
      <c r="L95" s="167">
        <f t="shared" si="18"/>
        <v>0.0824514239364101</v>
      </c>
      <c r="M95" s="76"/>
    </row>
    <row r="96" spans="1:13" ht="12.75">
      <c r="A96" s="122">
        <v>11</v>
      </c>
      <c r="B96" s="105" t="s">
        <v>156</v>
      </c>
      <c r="C96" s="148">
        <v>734</v>
      </c>
      <c r="D96" s="107">
        <v>398</v>
      </c>
      <c r="E96" s="164">
        <f t="shared" si="15"/>
        <v>-45.776566757493185</v>
      </c>
      <c r="F96" s="107">
        <v>4801</v>
      </c>
      <c r="G96" s="164">
        <f t="shared" si="16"/>
        <v>1106.281407035176</v>
      </c>
      <c r="H96" s="107">
        <v>678</v>
      </c>
      <c r="I96" s="166">
        <f t="shared" si="19"/>
        <v>-85.8779420953968</v>
      </c>
      <c r="J96" s="107">
        <v>658</v>
      </c>
      <c r="K96" s="166">
        <f t="shared" si="17"/>
        <v>-2.949852507374631</v>
      </c>
      <c r="L96" s="167">
        <f t="shared" si="18"/>
        <v>0.010485704860873182</v>
      </c>
      <c r="M96" s="76"/>
    </row>
    <row r="97" spans="1:13" ht="12.75">
      <c r="A97" s="122">
        <v>12</v>
      </c>
      <c r="B97" s="105" t="s">
        <v>157</v>
      </c>
      <c r="C97" s="148">
        <v>64</v>
      </c>
      <c r="D97" s="107">
        <v>81</v>
      </c>
      <c r="E97" s="164">
        <f t="shared" si="15"/>
        <v>26.5625</v>
      </c>
      <c r="F97" s="107">
        <v>318</v>
      </c>
      <c r="G97" s="164">
        <f t="shared" si="16"/>
        <v>292.5925925925926</v>
      </c>
      <c r="H97" s="107">
        <v>305</v>
      </c>
      <c r="I97" s="166">
        <f t="shared" si="19"/>
        <v>-4.088050314465408</v>
      </c>
      <c r="J97" s="107">
        <v>432</v>
      </c>
      <c r="K97" s="166">
        <f t="shared" si="17"/>
        <v>41.63934426229508</v>
      </c>
      <c r="L97" s="167">
        <f t="shared" si="18"/>
        <v>0.006884231762761725</v>
      </c>
      <c r="M97" s="76"/>
    </row>
    <row r="98" spans="1:13" ht="12.75">
      <c r="A98" s="122">
        <v>13</v>
      </c>
      <c r="B98" s="105" t="s">
        <v>159</v>
      </c>
      <c r="C98" s="148">
        <v>121</v>
      </c>
      <c r="D98" s="107">
        <v>94</v>
      </c>
      <c r="E98" s="164">
        <f t="shared" si="15"/>
        <v>-22.31404958677686</v>
      </c>
      <c r="F98" s="107">
        <v>204</v>
      </c>
      <c r="G98" s="164">
        <f t="shared" si="16"/>
        <v>117.02127659574468</v>
      </c>
      <c r="H98" s="107">
        <v>285</v>
      </c>
      <c r="I98" s="166">
        <f t="shared" si="19"/>
        <v>39.705882352941174</v>
      </c>
      <c r="J98" s="107">
        <f>136+235</f>
        <v>371</v>
      </c>
      <c r="K98" s="166">
        <f t="shared" si="17"/>
        <v>30.175438596491226</v>
      </c>
      <c r="L98" s="167">
        <f t="shared" si="18"/>
        <v>0.005912152740705092</v>
      </c>
      <c r="M98" s="76"/>
    </row>
    <row r="99" spans="1:13" ht="12.75">
      <c r="A99" s="122">
        <v>14</v>
      </c>
      <c r="B99" s="105" t="s">
        <v>161</v>
      </c>
      <c r="C99" s="148">
        <v>604</v>
      </c>
      <c r="D99" s="107">
        <v>575</v>
      </c>
      <c r="E99" s="164">
        <f t="shared" si="15"/>
        <v>-4.801324503311259</v>
      </c>
      <c r="F99" s="107">
        <v>723</v>
      </c>
      <c r="G99" s="164">
        <f t="shared" si="16"/>
        <v>25.73913043478261</v>
      </c>
      <c r="H99" s="107">
        <v>799</v>
      </c>
      <c r="I99" s="166">
        <f t="shared" si="19"/>
        <v>10.511756569847856</v>
      </c>
      <c r="J99" s="107">
        <v>1037</v>
      </c>
      <c r="K99" s="166">
        <f t="shared" si="17"/>
        <v>29.78723404255319</v>
      </c>
      <c r="L99" s="167">
        <f t="shared" si="18"/>
        <v>0.01652534337496275</v>
      </c>
      <c r="M99" s="76"/>
    </row>
    <row r="100" spans="1:13" ht="12.75">
      <c r="A100" s="122">
        <v>15</v>
      </c>
      <c r="B100" s="105" t="s">
        <v>162</v>
      </c>
      <c r="C100" s="148">
        <v>122</v>
      </c>
      <c r="D100" s="107">
        <v>167</v>
      </c>
      <c r="E100" s="164">
        <f t="shared" si="15"/>
        <v>36.885245901639344</v>
      </c>
      <c r="F100" s="107">
        <v>315</v>
      </c>
      <c r="G100" s="164">
        <f t="shared" si="16"/>
        <v>88.62275449101796</v>
      </c>
      <c r="H100" s="107">
        <v>341</v>
      </c>
      <c r="I100" s="166">
        <f t="shared" si="19"/>
        <v>8.253968253968253</v>
      </c>
      <c r="J100" s="107">
        <v>340</v>
      </c>
      <c r="K100" s="166">
        <f t="shared" si="17"/>
        <v>-0.2932551319648094</v>
      </c>
      <c r="L100" s="167">
        <f t="shared" si="18"/>
        <v>0.005418145368840246</v>
      </c>
      <c r="M100" s="76"/>
    </row>
    <row r="101" spans="1:13" ht="12.75">
      <c r="A101" s="122">
        <v>16</v>
      </c>
      <c r="B101" s="105" t="s">
        <v>163</v>
      </c>
      <c r="C101" s="148">
        <v>19</v>
      </c>
      <c r="D101" s="107">
        <v>42</v>
      </c>
      <c r="E101" s="164">
        <f t="shared" si="15"/>
        <v>121.05263157894737</v>
      </c>
      <c r="F101" s="107">
        <v>58</v>
      </c>
      <c r="G101" s="164">
        <v>0</v>
      </c>
      <c r="H101" s="107">
        <v>41</v>
      </c>
      <c r="I101" s="166" t="s">
        <v>244</v>
      </c>
      <c r="J101" s="107">
        <v>60</v>
      </c>
      <c r="K101" s="166">
        <f t="shared" si="17"/>
        <v>46.34146341463415</v>
      </c>
      <c r="L101" s="167">
        <f t="shared" si="18"/>
        <v>0.0009561433003835727</v>
      </c>
      <c r="M101" s="76"/>
    </row>
    <row r="102" spans="1:13" ht="12.75">
      <c r="A102" s="122">
        <v>17</v>
      </c>
      <c r="B102" s="105" t="s">
        <v>165</v>
      </c>
      <c r="C102" s="148">
        <v>41</v>
      </c>
      <c r="D102" s="107">
        <v>51</v>
      </c>
      <c r="E102" s="164">
        <f t="shared" si="15"/>
        <v>24.390243902439025</v>
      </c>
      <c r="F102" s="107">
        <v>36</v>
      </c>
      <c r="G102" s="164">
        <f t="shared" si="16"/>
        <v>-29.411764705882355</v>
      </c>
      <c r="H102" s="107">
        <v>54</v>
      </c>
      <c r="I102" s="166">
        <f t="shared" si="19"/>
        <v>50</v>
      </c>
      <c r="J102" s="107">
        <v>84</v>
      </c>
      <c r="K102" s="166">
        <f t="shared" si="17"/>
        <v>55.55555555555556</v>
      </c>
      <c r="L102" s="167">
        <f t="shared" si="18"/>
        <v>0.001338600620537002</v>
      </c>
      <c r="M102" s="76"/>
    </row>
    <row r="103" spans="1:13" ht="12.75">
      <c r="A103" s="122">
        <v>18</v>
      </c>
      <c r="B103" s="105" t="s">
        <v>164</v>
      </c>
      <c r="C103" s="148">
        <v>98</v>
      </c>
      <c r="D103" s="107">
        <v>128</v>
      </c>
      <c r="E103" s="164">
        <f t="shared" si="15"/>
        <v>30.612244897959183</v>
      </c>
      <c r="F103" s="107">
        <v>252</v>
      </c>
      <c r="G103" s="164">
        <f t="shared" si="16"/>
        <v>96.875</v>
      </c>
      <c r="H103" s="107">
        <v>267</v>
      </c>
      <c r="I103" s="166">
        <f t="shared" si="19"/>
        <v>5.952380952380952</v>
      </c>
      <c r="J103" s="107">
        <v>212</v>
      </c>
      <c r="K103" s="166">
        <f t="shared" si="17"/>
        <v>-20.59925093632959</v>
      </c>
      <c r="L103" s="167">
        <f t="shared" si="18"/>
        <v>0.0033783729946886237</v>
      </c>
      <c r="M103" s="76"/>
    </row>
    <row r="104" spans="1:13" ht="12.75">
      <c r="A104" s="122">
        <v>19</v>
      </c>
      <c r="B104" s="105" t="s">
        <v>84</v>
      </c>
      <c r="C104" s="148">
        <v>5069</v>
      </c>
      <c r="D104" s="107">
        <v>6673</v>
      </c>
      <c r="E104" s="164">
        <f t="shared" si="15"/>
        <v>31.643322154271058</v>
      </c>
      <c r="F104" s="107">
        <v>7574</v>
      </c>
      <c r="G104" s="164">
        <f t="shared" si="16"/>
        <v>13.502172935711073</v>
      </c>
      <c r="H104" s="107">
        <v>9842</v>
      </c>
      <c r="I104" s="166">
        <f t="shared" si="19"/>
        <v>29.944547134935306</v>
      </c>
      <c r="J104" s="107">
        <v>10984</v>
      </c>
      <c r="K104" s="166">
        <f t="shared" si="17"/>
        <v>11.603332655964236</v>
      </c>
      <c r="L104" s="167">
        <f t="shared" si="18"/>
        <v>0.17503796685688608</v>
      </c>
      <c r="M104" s="76"/>
    </row>
    <row r="105" spans="1:13" ht="12.75">
      <c r="A105" s="122">
        <v>20</v>
      </c>
      <c r="B105" s="105" t="s">
        <v>167</v>
      </c>
      <c r="C105" s="148">
        <v>20</v>
      </c>
      <c r="D105" s="107">
        <v>2</v>
      </c>
      <c r="E105" s="164" t="s">
        <v>244</v>
      </c>
      <c r="F105" s="107">
        <v>3</v>
      </c>
      <c r="G105" s="164" t="s">
        <v>244</v>
      </c>
      <c r="H105" s="107">
        <v>21</v>
      </c>
      <c r="I105" s="166" t="s">
        <v>244</v>
      </c>
      <c r="J105" s="107">
        <v>6</v>
      </c>
      <c r="K105" s="166">
        <f t="shared" si="17"/>
        <v>-71.42857142857143</v>
      </c>
      <c r="L105" s="167">
        <f t="shared" si="18"/>
        <v>9.561433003835728E-05</v>
      </c>
      <c r="M105" s="76"/>
    </row>
    <row r="106" spans="1:13" ht="12.75">
      <c r="A106" s="122">
        <v>21</v>
      </c>
      <c r="B106" s="105" t="s">
        <v>168</v>
      </c>
      <c r="C106" s="148">
        <v>37</v>
      </c>
      <c r="D106" s="107">
        <v>39</v>
      </c>
      <c r="E106" s="164">
        <f t="shared" si="15"/>
        <v>5.405405405405405</v>
      </c>
      <c r="F106" s="107">
        <v>74</v>
      </c>
      <c r="G106" s="164">
        <f t="shared" si="16"/>
        <v>89.74358974358975</v>
      </c>
      <c r="H106" s="107">
        <v>97</v>
      </c>
      <c r="I106" s="166">
        <f t="shared" si="19"/>
        <v>31.08108108108108</v>
      </c>
      <c r="J106" s="107">
        <v>102</v>
      </c>
      <c r="K106" s="166">
        <f t="shared" si="17"/>
        <v>5.154639175257731</v>
      </c>
      <c r="L106" s="167">
        <f t="shared" si="18"/>
        <v>0.001625443610652074</v>
      </c>
      <c r="M106" s="76"/>
    </row>
    <row r="107" spans="1:13" ht="12.75">
      <c r="A107" s="122">
        <v>22</v>
      </c>
      <c r="B107" s="105" t="s">
        <v>169</v>
      </c>
      <c r="C107" s="142">
        <v>154</v>
      </c>
      <c r="D107" s="82">
        <v>173</v>
      </c>
      <c r="E107" s="83">
        <f t="shared" si="15"/>
        <v>12.337662337662337</v>
      </c>
      <c r="F107" s="82">
        <v>309</v>
      </c>
      <c r="G107" s="83">
        <f t="shared" si="16"/>
        <v>78.61271676300578</v>
      </c>
      <c r="H107" s="82">
        <v>397</v>
      </c>
      <c r="I107" s="84">
        <f t="shared" si="19"/>
        <v>28.478964401294498</v>
      </c>
      <c r="J107" s="82">
        <v>339</v>
      </c>
      <c r="K107" s="84">
        <f t="shared" si="17"/>
        <v>-14.609571788413097</v>
      </c>
      <c r="L107" s="111">
        <f t="shared" si="18"/>
        <v>0.005402209647167186</v>
      </c>
      <c r="M107" s="76"/>
    </row>
    <row r="108" spans="1:13" ht="12.75">
      <c r="A108" s="122">
        <v>23</v>
      </c>
      <c r="B108" s="105" t="s">
        <v>170</v>
      </c>
      <c r="C108" s="142">
        <v>45</v>
      </c>
      <c r="D108" s="82">
        <v>70</v>
      </c>
      <c r="E108" s="83">
        <f t="shared" si="15"/>
        <v>55.55555555555556</v>
      </c>
      <c r="F108" s="82">
        <v>250</v>
      </c>
      <c r="G108" s="83">
        <f t="shared" si="16"/>
        <v>257.14285714285717</v>
      </c>
      <c r="H108" s="82">
        <v>191</v>
      </c>
      <c r="I108" s="84">
        <f t="shared" si="19"/>
        <v>-23.599999999999998</v>
      </c>
      <c r="J108" s="82">
        <v>227</v>
      </c>
      <c r="K108" s="84">
        <f t="shared" si="17"/>
        <v>18.848167539267017</v>
      </c>
      <c r="L108" s="111">
        <f t="shared" si="18"/>
        <v>0.003617408819784517</v>
      </c>
      <c r="M108" s="76"/>
    </row>
    <row r="109" spans="1:13" ht="12.75">
      <c r="A109" s="122">
        <v>24</v>
      </c>
      <c r="B109" s="105" t="s">
        <v>171</v>
      </c>
      <c r="C109" s="142">
        <v>1082</v>
      </c>
      <c r="D109" s="82">
        <v>1304</v>
      </c>
      <c r="E109" s="83">
        <f t="shared" si="15"/>
        <v>20.51756007393715</v>
      </c>
      <c r="F109" s="82">
        <v>1609</v>
      </c>
      <c r="G109" s="83">
        <f t="shared" si="16"/>
        <v>23.38957055214724</v>
      </c>
      <c r="H109" s="82">
        <v>1909</v>
      </c>
      <c r="I109" s="84">
        <f t="shared" si="19"/>
        <v>18.645121193287757</v>
      </c>
      <c r="J109" s="82">
        <v>2070</v>
      </c>
      <c r="K109" s="84">
        <f t="shared" si="17"/>
        <v>8.433734939759036</v>
      </c>
      <c r="L109" s="111">
        <f t="shared" si="18"/>
        <v>0.03298694386323326</v>
      </c>
      <c r="M109" s="76"/>
    </row>
    <row r="110" spans="1:13" ht="12.75">
      <c r="A110" s="122">
        <v>25</v>
      </c>
      <c r="B110" s="105" t="s">
        <v>160</v>
      </c>
      <c r="C110" s="142">
        <v>48</v>
      </c>
      <c r="D110" s="82">
        <v>122</v>
      </c>
      <c r="E110" s="83">
        <f t="shared" si="15"/>
        <v>154.16666666666669</v>
      </c>
      <c r="F110" s="82">
        <v>201</v>
      </c>
      <c r="G110" s="83">
        <f t="shared" si="16"/>
        <v>64.75409836065575</v>
      </c>
      <c r="H110" s="82">
        <v>227</v>
      </c>
      <c r="I110" s="84">
        <f t="shared" si="19"/>
        <v>12.935323383084576</v>
      </c>
      <c r="J110" s="82">
        <v>235</v>
      </c>
      <c r="K110" s="84">
        <f t="shared" si="17"/>
        <v>3.524229074889868</v>
      </c>
      <c r="L110" s="111">
        <f t="shared" si="18"/>
        <v>0.0037448945931689934</v>
      </c>
      <c r="M110" s="76"/>
    </row>
    <row r="111" spans="1:13" ht="12.75">
      <c r="A111" s="122">
        <v>26</v>
      </c>
      <c r="B111" s="105" t="s">
        <v>173</v>
      </c>
      <c r="C111" s="142">
        <v>7</v>
      </c>
      <c r="D111" s="82">
        <v>2</v>
      </c>
      <c r="E111" s="83" t="s">
        <v>244</v>
      </c>
      <c r="F111" s="82">
        <v>54</v>
      </c>
      <c r="G111" s="83">
        <v>0</v>
      </c>
      <c r="H111" s="82">
        <v>50</v>
      </c>
      <c r="I111" s="84" t="s">
        <v>244</v>
      </c>
      <c r="J111" s="82">
        <f>52+143</f>
        <v>195</v>
      </c>
      <c r="K111" s="84">
        <f t="shared" si="17"/>
        <v>290</v>
      </c>
      <c r="L111" s="111">
        <f t="shared" si="18"/>
        <v>0.003107465726246612</v>
      </c>
      <c r="M111" s="76"/>
    </row>
    <row r="112" spans="1:13" ht="12.75">
      <c r="A112" s="122">
        <v>27</v>
      </c>
      <c r="B112" s="105" t="s">
        <v>172</v>
      </c>
      <c r="C112" s="142">
        <v>29</v>
      </c>
      <c r="D112" s="82">
        <v>47</v>
      </c>
      <c r="E112" s="83">
        <f t="shared" si="15"/>
        <v>62.06896551724138</v>
      </c>
      <c r="F112" s="82">
        <v>68</v>
      </c>
      <c r="G112" s="83">
        <f t="shared" si="16"/>
        <v>44.680851063829785</v>
      </c>
      <c r="H112" s="82">
        <v>77</v>
      </c>
      <c r="I112" s="84">
        <f t="shared" si="19"/>
        <v>13.23529411764706</v>
      </c>
      <c r="J112" s="82">
        <v>96</v>
      </c>
      <c r="K112" s="84">
        <f t="shared" si="17"/>
        <v>24.675324675324674</v>
      </c>
      <c r="L112" s="111">
        <f t="shared" si="18"/>
        <v>0.0015298292806137164</v>
      </c>
      <c r="M112" s="76"/>
    </row>
    <row r="113" spans="1:13" ht="12.75">
      <c r="A113" s="122">
        <v>28</v>
      </c>
      <c r="B113" s="105" t="s">
        <v>174</v>
      </c>
      <c r="C113" s="142">
        <v>0</v>
      </c>
      <c r="D113" s="142">
        <v>0</v>
      </c>
      <c r="E113" s="83" t="s">
        <v>244</v>
      </c>
      <c r="F113" s="84" t="s">
        <v>244</v>
      </c>
      <c r="G113" s="83" t="s">
        <v>244</v>
      </c>
      <c r="H113" s="168" t="s">
        <v>244</v>
      </c>
      <c r="I113" s="84" t="s">
        <v>244</v>
      </c>
      <c r="J113" s="172">
        <v>0</v>
      </c>
      <c r="K113" s="84" t="s">
        <v>244</v>
      </c>
      <c r="L113" s="111">
        <v>0</v>
      </c>
      <c r="M113" s="76"/>
    </row>
    <row r="114" spans="1:13" ht="12.75">
      <c r="A114" s="122">
        <v>29</v>
      </c>
      <c r="B114" s="105" t="s">
        <v>175</v>
      </c>
      <c r="C114" s="142">
        <v>176</v>
      </c>
      <c r="D114" s="82">
        <v>220</v>
      </c>
      <c r="E114" s="83">
        <f t="shared" si="15"/>
        <v>25</v>
      </c>
      <c r="F114" s="82">
        <v>333</v>
      </c>
      <c r="G114" s="83">
        <f t="shared" si="16"/>
        <v>51.36363636363637</v>
      </c>
      <c r="H114" s="82">
        <v>650</v>
      </c>
      <c r="I114" s="84">
        <f t="shared" si="19"/>
        <v>95.1951951951952</v>
      </c>
      <c r="J114" s="82">
        <v>324</v>
      </c>
      <c r="K114" s="84">
        <f t="shared" si="17"/>
        <v>-50.153846153846146</v>
      </c>
      <c r="L114" s="111">
        <f t="shared" si="18"/>
        <v>0.005163173822071293</v>
      </c>
      <c r="M114" s="76"/>
    </row>
    <row r="115" spans="1:13" ht="12.75">
      <c r="A115" s="122">
        <v>30</v>
      </c>
      <c r="B115" s="105" t="s">
        <v>176</v>
      </c>
      <c r="C115" s="142">
        <v>565</v>
      </c>
      <c r="D115" s="82">
        <v>934</v>
      </c>
      <c r="E115" s="83">
        <f t="shared" si="15"/>
        <v>65.30973451327434</v>
      </c>
      <c r="F115" s="82">
        <v>1231</v>
      </c>
      <c r="G115" s="83">
        <f t="shared" si="16"/>
        <v>31.798715203426127</v>
      </c>
      <c r="H115" s="82">
        <v>1703</v>
      </c>
      <c r="I115" s="84">
        <f t="shared" si="19"/>
        <v>38.34281072298944</v>
      </c>
      <c r="J115" s="82">
        <v>1809</v>
      </c>
      <c r="K115" s="84">
        <f t="shared" si="17"/>
        <v>6.2243100411039345</v>
      </c>
      <c r="L115" s="111">
        <f t="shared" si="18"/>
        <v>0.028827720506564722</v>
      </c>
      <c r="M115" s="76"/>
    </row>
    <row r="116" spans="1:13" ht="12.75">
      <c r="A116" s="122">
        <v>31</v>
      </c>
      <c r="B116" s="105" t="s">
        <v>177</v>
      </c>
      <c r="C116" s="142">
        <v>463</v>
      </c>
      <c r="D116" s="82">
        <v>827</v>
      </c>
      <c r="E116" s="83">
        <f t="shared" si="15"/>
        <v>78.61771058315334</v>
      </c>
      <c r="F116" s="82">
        <v>1471</v>
      </c>
      <c r="G116" s="83">
        <f t="shared" si="16"/>
        <v>77.87182587666264</v>
      </c>
      <c r="H116" s="82">
        <v>1132</v>
      </c>
      <c r="I116" s="84">
        <f t="shared" si="19"/>
        <v>-23.0455472467709</v>
      </c>
      <c r="J116" s="82">
        <v>1021</v>
      </c>
      <c r="K116" s="84">
        <f t="shared" si="17"/>
        <v>-9.80565371024735</v>
      </c>
      <c r="L116" s="111">
        <f t="shared" si="18"/>
        <v>0.016270371828193797</v>
      </c>
      <c r="M116" s="76"/>
    </row>
    <row r="117" spans="1:13" ht="12.75">
      <c r="A117" s="122">
        <v>32</v>
      </c>
      <c r="B117" s="105" t="s">
        <v>178</v>
      </c>
      <c r="C117" s="142">
        <v>227</v>
      </c>
      <c r="D117" s="82">
        <v>286</v>
      </c>
      <c r="E117" s="83">
        <f t="shared" si="15"/>
        <v>25.991189427312776</v>
      </c>
      <c r="F117" s="82">
        <v>268</v>
      </c>
      <c r="G117" s="83">
        <f t="shared" si="16"/>
        <v>-6.293706293706294</v>
      </c>
      <c r="H117" s="82">
        <v>375</v>
      </c>
      <c r="I117" s="84">
        <f t="shared" si="19"/>
        <v>39.92537313432835</v>
      </c>
      <c r="J117" s="82">
        <v>374</v>
      </c>
      <c r="K117" s="84">
        <f t="shared" si="17"/>
        <v>-0.26666666666666666</v>
      </c>
      <c r="L117" s="111">
        <f t="shared" si="18"/>
        <v>0.005959959905724271</v>
      </c>
      <c r="M117" s="76"/>
    </row>
    <row r="118" spans="1:14" ht="13.5" thickBot="1">
      <c r="A118" s="126"/>
      <c r="B118" s="127" t="s">
        <v>2</v>
      </c>
      <c r="C118" s="146">
        <f>SUM(C86:C117)</f>
        <v>213643</v>
      </c>
      <c r="D118" s="146">
        <f>SUM(D86:D117)</f>
        <v>269027</v>
      </c>
      <c r="E118" s="129">
        <f>SUM(D118-C118)/C118*100</f>
        <v>25.923620244988133</v>
      </c>
      <c r="F118" s="146">
        <f>SUM(F86:F117)</f>
        <v>320783</v>
      </c>
      <c r="G118" s="129">
        <f>SUM(F118-D118)/D118*100</f>
        <v>19.23821772535842</v>
      </c>
      <c r="H118" s="146">
        <f>SUM(H86:H117)</f>
        <v>367508</v>
      </c>
      <c r="I118" s="130">
        <f>(H118-F118)/F118*100</f>
        <v>14.565921510803253</v>
      </c>
      <c r="J118" s="128">
        <f>SUM(J86:J117)</f>
        <v>415262</v>
      </c>
      <c r="K118" s="128">
        <f>(J118-H118)/H118*100</f>
        <v>12.994002851638603</v>
      </c>
      <c r="L118" s="131">
        <f t="shared" si="18"/>
        <v>6.617499653398054</v>
      </c>
      <c r="M118" s="77"/>
      <c r="N118" s="4"/>
    </row>
    <row r="119" spans="1:13" ht="14.25" thickBot="1" thickTop="1">
      <c r="A119" s="112" t="s">
        <v>53</v>
      </c>
      <c r="B119" s="102" t="s">
        <v>9</v>
      </c>
      <c r="C119" s="177"/>
      <c r="D119" s="178"/>
      <c r="E119" s="178"/>
      <c r="F119" s="178"/>
      <c r="G119" s="178"/>
      <c r="H119" s="178"/>
      <c r="I119" s="178"/>
      <c r="J119" s="178"/>
      <c r="K119" s="178"/>
      <c r="L119" s="179"/>
      <c r="M119" s="76"/>
    </row>
    <row r="120" spans="1:13" ht="13.5" thickTop="1">
      <c r="A120" s="122">
        <v>1</v>
      </c>
      <c r="B120" s="108" t="s">
        <v>85</v>
      </c>
      <c r="C120" s="147">
        <v>13966</v>
      </c>
      <c r="D120" s="135">
        <v>15308</v>
      </c>
      <c r="E120" s="91">
        <f aca="true" t="shared" si="20" ref="E120:E169">SUM(D120-C120)/C120*100</f>
        <v>9.609050551338965</v>
      </c>
      <c r="F120" s="135">
        <v>19489</v>
      </c>
      <c r="G120" s="83">
        <f aca="true" t="shared" si="21" ref="G120:G169">SUM(F120-D120)/D120*100</f>
        <v>27.312516331330023</v>
      </c>
      <c r="H120" s="135">
        <v>19795</v>
      </c>
      <c r="I120" s="90">
        <f aca="true" t="shared" si="22" ref="I120:I169">SUM(H120-F120)/F120*100</f>
        <v>1.5701164759607984</v>
      </c>
      <c r="J120" s="135">
        <v>18800</v>
      </c>
      <c r="K120" s="84">
        <f aca="true" t="shared" si="23" ref="K120:K169">(J120-H120)/H120*100</f>
        <v>-5.026521848951755</v>
      </c>
      <c r="L120" s="111">
        <f aca="true" t="shared" si="24" ref="L120:L171">J120/$J$197*100</f>
        <v>0.29959156745351945</v>
      </c>
      <c r="M120" s="76"/>
    </row>
    <row r="121" spans="1:13" ht="12.75">
      <c r="A121" s="122">
        <v>2</v>
      </c>
      <c r="B121" s="109" t="s">
        <v>182</v>
      </c>
      <c r="C121" s="148">
        <v>112</v>
      </c>
      <c r="D121" s="107">
        <v>289</v>
      </c>
      <c r="E121" s="83">
        <f t="shared" si="20"/>
        <v>158.03571428571428</v>
      </c>
      <c r="F121" s="107">
        <v>270</v>
      </c>
      <c r="G121" s="83">
        <f t="shared" si="21"/>
        <v>-6.5743944636678195</v>
      </c>
      <c r="H121" s="107">
        <v>505</v>
      </c>
      <c r="I121" s="84">
        <f t="shared" si="22"/>
        <v>87.03703703703704</v>
      </c>
      <c r="J121" s="107">
        <v>710</v>
      </c>
      <c r="K121" s="84">
        <f t="shared" si="23"/>
        <v>40.5940594059406</v>
      </c>
      <c r="L121" s="111">
        <f t="shared" si="24"/>
        <v>0.011314362387872277</v>
      </c>
      <c r="M121" s="76"/>
    </row>
    <row r="122" spans="1:13" ht="12.75">
      <c r="A122" s="122">
        <v>3</v>
      </c>
      <c r="B122" s="109" t="s">
        <v>180</v>
      </c>
      <c r="C122" s="148">
        <v>38</v>
      </c>
      <c r="D122" s="107">
        <v>111</v>
      </c>
      <c r="E122" s="83">
        <f t="shared" si="20"/>
        <v>192.10526315789474</v>
      </c>
      <c r="F122" s="107">
        <v>117</v>
      </c>
      <c r="G122" s="83">
        <f t="shared" si="21"/>
        <v>5.405405405405405</v>
      </c>
      <c r="H122" s="107">
        <v>139</v>
      </c>
      <c r="I122" s="84">
        <f t="shared" si="22"/>
        <v>18.803418803418804</v>
      </c>
      <c r="J122" s="107">
        <v>199</v>
      </c>
      <c r="K122" s="84">
        <f t="shared" si="23"/>
        <v>43.16546762589928</v>
      </c>
      <c r="L122" s="111">
        <f t="shared" si="24"/>
        <v>0.00317120861293885</v>
      </c>
      <c r="M122" s="76"/>
    </row>
    <row r="123" spans="1:13" ht="12.75">
      <c r="A123" s="122">
        <v>4</v>
      </c>
      <c r="B123" s="109" t="s">
        <v>179</v>
      </c>
      <c r="C123" s="148">
        <v>107</v>
      </c>
      <c r="D123" s="107">
        <v>327</v>
      </c>
      <c r="E123" s="83">
        <f t="shared" si="20"/>
        <v>205.607476635514</v>
      </c>
      <c r="F123" s="107">
        <v>577</v>
      </c>
      <c r="G123" s="83">
        <f t="shared" si="21"/>
        <v>76.45259938837921</v>
      </c>
      <c r="H123" s="107">
        <v>795</v>
      </c>
      <c r="I123" s="84">
        <f t="shared" si="22"/>
        <v>37.78162911611785</v>
      </c>
      <c r="J123" s="107">
        <v>1034</v>
      </c>
      <c r="K123" s="84">
        <f t="shared" si="23"/>
        <v>30.062893081761004</v>
      </c>
      <c r="L123" s="111">
        <f t="shared" si="24"/>
        <v>0.016477536209943574</v>
      </c>
      <c r="M123" s="76"/>
    </row>
    <row r="124" spans="1:13" ht="12.75">
      <c r="A124" s="122">
        <v>5</v>
      </c>
      <c r="B124" s="109" t="s">
        <v>181</v>
      </c>
      <c r="C124" s="148">
        <v>302</v>
      </c>
      <c r="D124" s="107">
        <v>605</v>
      </c>
      <c r="E124" s="83">
        <f t="shared" si="20"/>
        <v>100.33112582781456</v>
      </c>
      <c r="F124" s="107">
        <v>3852</v>
      </c>
      <c r="G124" s="83">
        <f t="shared" si="21"/>
        <v>536.694214876033</v>
      </c>
      <c r="H124" s="107">
        <v>843</v>
      </c>
      <c r="I124" s="84">
        <f t="shared" si="22"/>
        <v>-78.11526479750779</v>
      </c>
      <c r="J124" s="107">
        <v>1053</v>
      </c>
      <c r="K124" s="84">
        <f t="shared" si="23"/>
        <v>24.91103202846975</v>
      </c>
      <c r="L124" s="111">
        <f t="shared" si="24"/>
        <v>0.016780314921731702</v>
      </c>
      <c r="M124" s="76"/>
    </row>
    <row r="125" spans="1:13" ht="12.75">
      <c r="A125" s="122">
        <v>6</v>
      </c>
      <c r="B125" s="109" t="s">
        <v>183</v>
      </c>
      <c r="C125" s="148">
        <v>1441</v>
      </c>
      <c r="D125" s="107">
        <v>2087</v>
      </c>
      <c r="E125" s="83">
        <f t="shared" si="20"/>
        <v>44.829979181124216</v>
      </c>
      <c r="F125" s="107">
        <v>3151</v>
      </c>
      <c r="G125" s="83">
        <f t="shared" si="21"/>
        <v>50.98227120268328</v>
      </c>
      <c r="H125" s="107">
        <v>4023</v>
      </c>
      <c r="I125" s="84">
        <f t="shared" si="22"/>
        <v>27.673754363694066</v>
      </c>
      <c r="J125" s="107">
        <v>5788</v>
      </c>
      <c r="K125" s="84">
        <f t="shared" si="23"/>
        <v>43.87273179219488</v>
      </c>
      <c r="L125" s="111">
        <f t="shared" si="24"/>
        <v>0.09223595704366866</v>
      </c>
      <c r="M125" s="76"/>
    </row>
    <row r="126" spans="1:13" ht="12.75">
      <c r="A126" s="122">
        <v>7</v>
      </c>
      <c r="B126" s="109" t="s">
        <v>86</v>
      </c>
      <c r="C126" s="148">
        <v>20197</v>
      </c>
      <c r="D126" s="107">
        <v>23318</v>
      </c>
      <c r="E126" s="83">
        <f t="shared" si="20"/>
        <v>15.452790018319554</v>
      </c>
      <c r="F126" s="107">
        <v>27992</v>
      </c>
      <c r="G126" s="83">
        <f t="shared" si="21"/>
        <v>20.044600737627583</v>
      </c>
      <c r="H126" s="107">
        <v>32264</v>
      </c>
      <c r="I126" s="84">
        <f t="shared" si="22"/>
        <v>15.26150328665333</v>
      </c>
      <c r="J126" s="107">
        <v>28144</v>
      </c>
      <c r="K126" s="84">
        <f t="shared" si="23"/>
        <v>-12.769650384329283</v>
      </c>
      <c r="L126" s="111">
        <f t="shared" si="24"/>
        <v>0.4484949507665879</v>
      </c>
      <c r="M126" s="76"/>
    </row>
    <row r="127" spans="1:13" ht="12.75">
      <c r="A127" s="122">
        <v>8</v>
      </c>
      <c r="B127" s="109" t="s">
        <v>185</v>
      </c>
      <c r="C127" s="148">
        <v>183</v>
      </c>
      <c r="D127" s="107">
        <v>311</v>
      </c>
      <c r="E127" s="83">
        <f t="shared" si="20"/>
        <v>69.94535519125684</v>
      </c>
      <c r="F127" s="107">
        <v>765</v>
      </c>
      <c r="G127" s="83">
        <f t="shared" si="21"/>
        <v>145.9807073954984</v>
      </c>
      <c r="H127" s="107">
        <v>991</v>
      </c>
      <c r="I127" s="84">
        <f t="shared" si="22"/>
        <v>29.54248366013072</v>
      </c>
      <c r="J127" s="107">
        <f>1081+80</f>
        <v>1161</v>
      </c>
      <c r="K127" s="84">
        <f t="shared" si="23"/>
        <v>17.15438950554995</v>
      </c>
      <c r="L127" s="111">
        <f t="shared" si="24"/>
        <v>0.018501372862422136</v>
      </c>
      <c r="M127" s="76"/>
    </row>
    <row r="128" spans="1:13" ht="12.75">
      <c r="A128" s="122">
        <v>9</v>
      </c>
      <c r="B128" s="109" t="s">
        <v>89</v>
      </c>
      <c r="C128" s="148">
        <v>167628</v>
      </c>
      <c r="D128" s="107">
        <v>221522</v>
      </c>
      <c r="E128" s="83">
        <f t="shared" si="20"/>
        <v>32.150953301357774</v>
      </c>
      <c r="F128" s="107">
        <v>243827</v>
      </c>
      <c r="G128" s="83">
        <f t="shared" si="21"/>
        <v>10.068977347622358</v>
      </c>
      <c r="H128" s="107">
        <v>270789</v>
      </c>
      <c r="I128" s="84">
        <f t="shared" si="22"/>
        <v>11.057840189970758</v>
      </c>
      <c r="J128" s="107">
        <v>287258</v>
      </c>
      <c r="K128" s="84">
        <f t="shared" si="23"/>
        <v>6.081857091683931</v>
      </c>
      <c r="L128" s="111">
        <f t="shared" si="24"/>
        <v>4.577663536359739</v>
      </c>
      <c r="M128" s="76"/>
    </row>
    <row r="129" spans="1:13" ht="12.75">
      <c r="A129" s="122">
        <v>10</v>
      </c>
      <c r="B129" s="109" t="s">
        <v>184</v>
      </c>
      <c r="C129" s="148">
        <v>3244</v>
      </c>
      <c r="D129" s="107">
        <v>4400</v>
      </c>
      <c r="E129" s="83">
        <f t="shared" si="20"/>
        <v>35.63501849568434</v>
      </c>
      <c r="F129" s="107">
        <v>5498</v>
      </c>
      <c r="G129" s="83">
        <f t="shared" si="21"/>
        <v>24.954545454545453</v>
      </c>
      <c r="H129" s="107">
        <v>6101</v>
      </c>
      <c r="I129" s="84">
        <f t="shared" si="22"/>
        <v>10.967624590760277</v>
      </c>
      <c r="J129" s="107">
        <v>5784</v>
      </c>
      <c r="K129" s="84">
        <f t="shared" si="23"/>
        <v>-5.195869529585314</v>
      </c>
      <c r="L129" s="111">
        <f t="shared" si="24"/>
        <v>0.09217221415697642</v>
      </c>
      <c r="M129" s="76"/>
    </row>
    <row r="130" spans="1:13" ht="12.75">
      <c r="A130" s="122">
        <v>11</v>
      </c>
      <c r="B130" s="109" t="s">
        <v>188</v>
      </c>
      <c r="C130" s="148">
        <v>126</v>
      </c>
      <c r="D130" s="148">
        <v>0</v>
      </c>
      <c r="E130" s="142">
        <v>0</v>
      </c>
      <c r="F130" s="84" t="s">
        <v>244</v>
      </c>
      <c r="G130" s="83" t="s">
        <v>244</v>
      </c>
      <c r="H130" s="168" t="s">
        <v>244</v>
      </c>
      <c r="I130" s="84" t="s">
        <v>244</v>
      </c>
      <c r="J130" s="172">
        <v>5</v>
      </c>
      <c r="K130" s="142">
        <v>0</v>
      </c>
      <c r="L130" s="111">
        <v>0</v>
      </c>
      <c r="M130" s="76"/>
    </row>
    <row r="131" spans="1:13" ht="12.75">
      <c r="A131" s="122">
        <v>12</v>
      </c>
      <c r="B131" s="109" t="s">
        <v>186</v>
      </c>
      <c r="C131" s="148">
        <v>933</v>
      </c>
      <c r="D131" s="107">
        <v>1596</v>
      </c>
      <c r="E131" s="83">
        <f t="shared" si="20"/>
        <v>71.06109324758843</v>
      </c>
      <c r="F131" s="107">
        <v>2267</v>
      </c>
      <c r="G131" s="83">
        <f t="shared" si="21"/>
        <v>42.042606516290725</v>
      </c>
      <c r="H131" s="107">
        <v>2623</v>
      </c>
      <c r="I131" s="84">
        <f t="shared" si="22"/>
        <v>15.703573003970003</v>
      </c>
      <c r="J131" s="107">
        <v>3558</v>
      </c>
      <c r="K131" s="84">
        <f t="shared" si="23"/>
        <v>35.646206633625624</v>
      </c>
      <c r="L131" s="111">
        <f t="shared" si="24"/>
        <v>0.05669929771274587</v>
      </c>
      <c r="M131" s="76"/>
    </row>
    <row r="132" spans="1:13" ht="12.75">
      <c r="A132" s="122">
        <v>13</v>
      </c>
      <c r="B132" s="109" t="s">
        <v>187</v>
      </c>
      <c r="C132" s="148">
        <v>9096</v>
      </c>
      <c r="D132" s="107">
        <v>12564</v>
      </c>
      <c r="E132" s="83">
        <f t="shared" si="20"/>
        <v>38.12664907651715</v>
      </c>
      <c r="F132" s="107">
        <v>13924</v>
      </c>
      <c r="G132" s="83">
        <f t="shared" si="21"/>
        <v>10.824578159821712</v>
      </c>
      <c r="H132" s="107">
        <v>17444</v>
      </c>
      <c r="I132" s="84">
        <f t="shared" si="22"/>
        <v>25.280091927607007</v>
      </c>
      <c r="J132" s="107">
        <v>20159</v>
      </c>
      <c r="K132" s="84">
        <f t="shared" si="23"/>
        <v>15.56409080486127</v>
      </c>
      <c r="L132" s="111">
        <f t="shared" si="24"/>
        <v>0.3212482132072074</v>
      </c>
      <c r="M132" s="76"/>
    </row>
    <row r="133" spans="1:13" ht="12.75">
      <c r="A133" s="122">
        <v>14</v>
      </c>
      <c r="B133" s="109" t="s">
        <v>88</v>
      </c>
      <c r="C133" s="148">
        <v>18557</v>
      </c>
      <c r="D133" s="107">
        <v>26384</v>
      </c>
      <c r="E133" s="83">
        <f t="shared" si="20"/>
        <v>42.17815379641105</v>
      </c>
      <c r="F133" s="107">
        <v>33939</v>
      </c>
      <c r="G133" s="83">
        <f t="shared" si="21"/>
        <v>28.63477865372953</v>
      </c>
      <c r="H133" s="107">
        <v>36960</v>
      </c>
      <c r="I133" s="84">
        <f t="shared" si="22"/>
        <v>8.90126403252895</v>
      </c>
      <c r="J133" s="107">
        <v>34653</v>
      </c>
      <c r="K133" s="84">
        <f t="shared" si="23"/>
        <v>-6.241883116883117</v>
      </c>
      <c r="L133" s="111">
        <f t="shared" si="24"/>
        <v>0.5522205631365326</v>
      </c>
      <c r="M133" s="76"/>
    </row>
    <row r="134" spans="1:13" ht="12.75">
      <c r="A134" s="122">
        <v>15</v>
      </c>
      <c r="B134" s="109" t="s">
        <v>87</v>
      </c>
      <c r="C134" s="148">
        <v>81678</v>
      </c>
      <c r="D134" s="107">
        <v>95707</v>
      </c>
      <c r="E134" s="83">
        <f t="shared" si="20"/>
        <v>17.175983741031857</v>
      </c>
      <c r="F134" s="107">
        <v>102235</v>
      </c>
      <c r="G134" s="83">
        <f t="shared" si="21"/>
        <v>6.820817704034187</v>
      </c>
      <c r="H134" s="107">
        <v>108429</v>
      </c>
      <c r="I134" s="84">
        <f t="shared" si="22"/>
        <v>6.058590502274172</v>
      </c>
      <c r="J134" s="107">
        <v>116615</v>
      </c>
      <c r="K134" s="84">
        <f t="shared" si="23"/>
        <v>7.54964077875845</v>
      </c>
      <c r="L134" s="111">
        <f t="shared" si="24"/>
        <v>1.858344182903839</v>
      </c>
      <c r="M134" s="76"/>
    </row>
    <row r="135" spans="1:13" ht="12.75">
      <c r="A135" s="122">
        <v>16</v>
      </c>
      <c r="B135" s="109" t="s">
        <v>189</v>
      </c>
      <c r="C135" s="148">
        <v>2465</v>
      </c>
      <c r="D135" s="107">
        <v>3643</v>
      </c>
      <c r="E135" s="83">
        <f t="shared" si="20"/>
        <v>47.78904665314402</v>
      </c>
      <c r="F135" s="107">
        <v>6242</v>
      </c>
      <c r="G135" s="83">
        <f t="shared" si="21"/>
        <v>71.34230030194895</v>
      </c>
      <c r="H135" s="107">
        <v>6903</v>
      </c>
      <c r="I135" s="84">
        <f t="shared" si="22"/>
        <v>10.589554629926305</v>
      </c>
      <c r="J135" s="107">
        <v>5442</v>
      </c>
      <c r="K135" s="84">
        <f t="shared" si="23"/>
        <v>-21.16471099521947</v>
      </c>
      <c r="L135" s="111">
        <f t="shared" si="24"/>
        <v>0.08672219734479006</v>
      </c>
      <c r="M135" s="76"/>
    </row>
    <row r="136" spans="1:13" ht="12.75">
      <c r="A136" s="122">
        <v>17</v>
      </c>
      <c r="B136" s="109" t="s">
        <v>94</v>
      </c>
      <c r="C136" s="148">
        <v>11117</v>
      </c>
      <c r="D136" s="107">
        <v>12404</v>
      </c>
      <c r="E136" s="83">
        <f t="shared" si="20"/>
        <v>11.576864261941171</v>
      </c>
      <c r="F136" s="107">
        <v>16843</v>
      </c>
      <c r="G136" s="83">
        <f t="shared" si="21"/>
        <v>35.786842953885845</v>
      </c>
      <c r="H136" s="107">
        <v>20532</v>
      </c>
      <c r="I136" s="84">
        <f t="shared" si="22"/>
        <v>21.902273941696848</v>
      </c>
      <c r="J136" s="107">
        <v>16601</v>
      </c>
      <c r="K136" s="84">
        <f t="shared" si="23"/>
        <v>-19.145723748295342</v>
      </c>
      <c r="L136" s="111">
        <f t="shared" si="24"/>
        <v>0.2645489154944615</v>
      </c>
      <c r="M136" s="76"/>
    </row>
    <row r="137" spans="1:13" ht="12.75">
      <c r="A137" s="122">
        <v>18</v>
      </c>
      <c r="B137" s="109" t="s">
        <v>202</v>
      </c>
      <c r="C137" s="148">
        <v>131451</v>
      </c>
      <c r="D137" s="107">
        <v>165291</v>
      </c>
      <c r="E137" s="83">
        <f t="shared" si="20"/>
        <v>25.743432914165737</v>
      </c>
      <c r="F137" s="107">
        <v>177864</v>
      </c>
      <c r="G137" s="83">
        <f t="shared" si="21"/>
        <v>7.606584750530882</v>
      </c>
      <c r="H137" s="107">
        <v>195734</v>
      </c>
      <c r="I137" s="84">
        <f t="shared" si="22"/>
        <v>10.047002203931093</v>
      </c>
      <c r="J137" s="107">
        <v>208975</v>
      </c>
      <c r="K137" s="84">
        <f t="shared" si="23"/>
        <v>6.764793035446065</v>
      </c>
      <c r="L137" s="111">
        <f t="shared" si="24"/>
        <v>3.330167436627619</v>
      </c>
      <c r="M137" s="76"/>
    </row>
    <row r="138" spans="1:13" ht="12.75">
      <c r="A138" s="122">
        <v>19</v>
      </c>
      <c r="B138" s="109" t="s">
        <v>190</v>
      </c>
      <c r="C138" s="148">
        <v>105</v>
      </c>
      <c r="D138" s="107">
        <v>238</v>
      </c>
      <c r="E138" s="83">
        <f t="shared" si="20"/>
        <v>126.66666666666666</v>
      </c>
      <c r="F138" s="107">
        <v>309</v>
      </c>
      <c r="G138" s="83">
        <f t="shared" si="21"/>
        <v>29.831932773109244</v>
      </c>
      <c r="H138" s="107">
        <v>408</v>
      </c>
      <c r="I138" s="84">
        <f t="shared" si="22"/>
        <v>32.038834951456316</v>
      </c>
      <c r="J138" s="107">
        <v>512</v>
      </c>
      <c r="K138" s="84">
        <f t="shared" si="23"/>
        <v>25.49019607843137</v>
      </c>
      <c r="L138" s="111">
        <f t="shared" si="24"/>
        <v>0.008159089496606488</v>
      </c>
      <c r="M138" s="76"/>
    </row>
    <row r="139" spans="1:13" ht="12.75">
      <c r="A139" s="122">
        <v>20</v>
      </c>
      <c r="B139" s="109" t="s">
        <v>91</v>
      </c>
      <c r="C139" s="148">
        <v>120348</v>
      </c>
      <c r="D139" s="107">
        <v>153925</v>
      </c>
      <c r="E139" s="83">
        <f t="shared" si="20"/>
        <v>27.899923555023765</v>
      </c>
      <c r="F139" s="107">
        <v>177184</v>
      </c>
      <c r="G139" s="83">
        <f t="shared" si="21"/>
        <v>15.110605814520058</v>
      </c>
      <c r="H139" s="107">
        <v>185863</v>
      </c>
      <c r="I139" s="84">
        <f t="shared" si="22"/>
        <v>4.898297814701102</v>
      </c>
      <c r="J139" s="107">
        <v>197478</v>
      </c>
      <c r="K139" s="84">
        <f t="shared" si="23"/>
        <v>6.249226580868704</v>
      </c>
      <c r="L139" s="111">
        <f t="shared" si="24"/>
        <v>3.146954444552453</v>
      </c>
      <c r="M139" s="76"/>
    </row>
    <row r="140" spans="1:13" ht="12.75">
      <c r="A140" s="122">
        <v>21</v>
      </c>
      <c r="B140" s="109" t="s">
        <v>215</v>
      </c>
      <c r="C140" s="148">
        <v>2354</v>
      </c>
      <c r="D140" s="107">
        <v>2902</v>
      </c>
      <c r="E140" s="83">
        <f t="shared" si="20"/>
        <v>23.279524214103652</v>
      </c>
      <c r="F140" s="107">
        <v>5106</v>
      </c>
      <c r="G140" s="83">
        <f t="shared" si="21"/>
        <v>75.94762232942797</v>
      </c>
      <c r="H140" s="107">
        <v>5771</v>
      </c>
      <c r="I140" s="84">
        <f t="shared" si="22"/>
        <v>13.023893458676067</v>
      </c>
      <c r="J140" s="107">
        <v>6539</v>
      </c>
      <c r="K140" s="84">
        <f t="shared" si="23"/>
        <v>13.307918904869172</v>
      </c>
      <c r="L140" s="111">
        <f t="shared" si="24"/>
        <v>0.10420368402013638</v>
      </c>
      <c r="M140" s="76"/>
    </row>
    <row r="141" spans="1:13" ht="12.75">
      <c r="A141" s="122">
        <v>22</v>
      </c>
      <c r="B141" s="109" t="s">
        <v>191</v>
      </c>
      <c r="C141" s="148">
        <v>4873</v>
      </c>
      <c r="D141" s="107">
        <v>6740</v>
      </c>
      <c r="E141" s="83">
        <f t="shared" si="20"/>
        <v>38.31315411450852</v>
      </c>
      <c r="F141" s="107">
        <v>8406</v>
      </c>
      <c r="G141" s="83">
        <f t="shared" si="21"/>
        <v>24.718100890207715</v>
      </c>
      <c r="H141" s="107">
        <v>10164</v>
      </c>
      <c r="I141" s="84">
        <f t="shared" si="22"/>
        <v>20.91363311920057</v>
      </c>
      <c r="J141" s="107">
        <v>10968</v>
      </c>
      <c r="K141" s="84">
        <f t="shared" si="23"/>
        <v>7.910271546635183</v>
      </c>
      <c r="L141" s="111">
        <f t="shared" si="24"/>
        <v>0.17478299531011712</v>
      </c>
      <c r="M141" s="76"/>
    </row>
    <row r="142" spans="1:13" ht="12.75">
      <c r="A142" s="122">
        <v>23</v>
      </c>
      <c r="B142" s="109" t="s">
        <v>193</v>
      </c>
      <c r="C142" s="148">
        <v>15432</v>
      </c>
      <c r="D142" s="107">
        <v>19386</v>
      </c>
      <c r="E142" s="83">
        <f t="shared" si="20"/>
        <v>25.62208398133748</v>
      </c>
      <c r="F142" s="107">
        <v>20912</v>
      </c>
      <c r="G142" s="83">
        <f t="shared" si="21"/>
        <v>7.8716599607964515</v>
      </c>
      <c r="H142" s="107">
        <v>21625</v>
      </c>
      <c r="I142" s="84">
        <f t="shared" si="22"/>
        <v>3.4095256312165265</v>
      </c>
      <c r="J142" s="107">
        <v>22735</v>
      </c>
      <c r="K142" s="84">
        <f t="shared" si="23"/>
        <v>5.132947976878613</v>
      </c>
      <c r="L142" s="111">
        <f t="shared" si="24"/>
        <v>0.3622986322370088</v>
      </c>
      <c r="M142" s="76"/>
    </row>
    <row r="143" spans="1:13" ht="12.75">
      <c r="A143" s="122">
        <v>24</v>
      </c>
      <c r="B143" s="109" t="s">
        <v>192</v>
      </c>
      <c r="C143" s="148">
        <v>1517</v>
      </c>
      <c r="D143" s="107">
        <v>1159</v>
      </c>
      <c r="E143" s="83">
        <f t="shared" si="20"/>
        <v>-23.599208965062623</v>
      </c>
      <c r="F143" s="107">
        <v>2619</v>
      </c>
      <c r="G143" s="83">
        <f t="shared" si="21"/>
        <v>125.97066436583262</v>
      </c>
      <c r="H143" s="107">
        <v>2017</v>
      </c>
      <c r="I143" s="84">
        <f t="shared" si="22"/>
        <v>-22.98587247040855</v>
      </c>
      <c r="J143" s="107">
        <v>1948</v>
      </c>
      <c r="K143" s="84">
        <f t="shared" si="23"/>
        <v>-3.4209221616261773</v>
      </c>
      <c r="L143" s="111">
        <f t="shared" si="24"/>
        <v>0.031042785819119997</v>
      </c>
      <c r="M143" s="76"/>
    </row>
    <row r="144" spans="1:13" ht="12.75">
      <c r="A144" s="122">
        <v>25</v>
      </c>
      <c r="B144" s="109" t="s">
        <v>90</v>
      </c>
      <c r="C144" s="148">
        <v>33266</v>
      </c>
      <c r="D144" s="107">
        <v>41689</v>
      </c>
      <c r="E144" s="83">
        <f t="shared" si="20"/>
        <v>25.320146696326578</v>
      </c>
      <c r="F144" s="107">
        <v>50045</v>
      </c>
      <c r="G144" s="83">
        <f t="shared" si="21"/>
        <v>20.043656600062366</v>
      </c>
      <c r="H144" s="107">
        <v>56222</v>
      </c>
      <c r="I144" s="84">
        <f t="shared" si="22"/>
        <v>12.342891397742033</v>
      </c>
      <c r="J144" s="107">
        <v>56374</v>
      </c>
      <c r="K144" s="84">
        <f t="shared" si="23"/>
        <v>0.2703567998292483</v>
      </c>
      <c r="L144" s="111">
        <f t="shared" si="24"/>
        <v>0.898360373597059</v>
      </c>
      <c r="M144" s="76"/>
    </row>
    <row r="145" spans="1:13" ht="12.75">
      <c r="A145" s="122">
        <v>26</v>
      </c>
      <c r="B145" s="109" t="s">
        <v>194</v>
      </c>
      <c r="C145" s="148">
        <v>3366</v>
      </c>
      <c r="D145" s="107">
        <v>4004</v>
      </c>
      <c r="E145" s="83">
        <f t="shared" si="20"/>
        <v>18.954248366013072</v>
      </c>
      <c r="F145" s="107">
        <v>5517</v>
      </c>
      <c r="G145" s="83">
        <f t="shared" si="21"/>
        <v>37.78721278721279</v>
      </c>
      <c r="H145" s="107">
        <v>5317</v>
      </c>
      <c r="I145" s="84">
        <f t="shared" si="22"/>
        <v>-3.62515860068878</v>
      </c>
      <c r="J145" s="107">
        <v>8135</v>
      </c>
      <c r="K145" s="84">
        <f t="shared" si="23"/>
        <v>52.9998119240173</v>
      </c>
      <c r="L145" s="111">
        <f t="shared" si="24"/>
        <v>0.12963709581033941</v>
      </c>
      <c r="M145" s="76"/>
    </row>
    <row r="146" spans="1:13" ht="12.75">
      <c r="A146" s="122">
        <v>27</v>
      </c>
      <c r="B146" s="109" t="s">
        <v>195</v>
      </c>
      <c r="C146" s="148">
        <v>173</v>
      </c>
      <c r="D146" s="107">
        <v>439</v>
      </c>
      <c r="E146" s="83">
        <f t="shared" si="20"/>
        <v>153.757225433526</v>
      </c>
      <c r="F146" s="107">
        <v>673</v>
      </c>
      <c r="G146" s="83">
        <f t="shared" si="21"/>
        <v>53.30296127562642</v>
      </c>
      <c r="H146" s="107">
        <v>673</v>
      </c>
      <c r="I146" s="84">
        <f t="shared" si="22"/>
        <v>0</v>
      </c>
      <c r="J146" s="107">
        <v>975</v>
      </c>
      <c r="K146" s="84">
        <f t="shared" si="23"/>
        <v>44.873699851411594</v>
      </c>
      <c r="L146" s="111">
        <f t="shared" si="24"/>
        <v>0.015537328631233058</v>
      </c>
      <c r="M146" s="76"/>
    </row>
    <row r="147" spans="1:13" ht="12.75">
      <c r="A147" s="122">
        <v>28</v>
      </c>
      <c r="B147" s="109" t="s">
        <v>198</v>
      </c>
      <c r="C147" s="148">
        <v>1194</v>
      </c>
      <c r="D147" s="107">
        <v>1485</v>
      </c>
      <c r="E147" s="83">
        <f t="shared" si="20"/>
        <v>24.371859296482413</v>
      </c>
      <c r="F147" s="107">
        <v>2584</v>
      </c>
      <c r="G147" s="83">
        <f t="shared" si="21"/>
        <v>74.006734006734</v>
      </c>
      <c r="H147" s="107">
        <v>3387</v>
      </c>
      <c r="I147" s="84">
        <f t="shared" si="22"/>
        <v>31.075851393188852</v>
      </c>
      <c r="J147" s="107">
        <v>4224</v>
      </c>
      <c r="K147" s="84">
        <f t="shared" si="23"/>
        <v>24.71213463241807</v>
      </c>
      <c r="L147" s="111">
        <f t="shared" si="24"/>
        <v>0.06731248834700353</v>
      </c>
      <c r="M147" s="76"/>
    </row>
    <row r="148" spans="1:13" ht="12.75">
      <c r="A148" s="122">
        <v>29</v>
      </c>
      <c r="B148" s="109" t="s">
        <v>197</v>
      </c>
      <c r="C148" s="148">
        <v>180</v>
      </c>
      <c r="D148" s="107">
        <v>150</v>
      </c>
      <c r="E148" s="83">
        <f t="shared" si="20"/>
        <v>-16.666666666666664</v>
      </c>
      <c r="F148" s="107">
        <v>169</v>
      </c>
      <c r="G148" s="83">
        <f t="shared" si="21"/>
        <v>12.666666666666668</v>
      </c>
      <c r="H148" s="107">
        <v>149</v>
      </c>
      <c r="I148" s="84">
        <f t="shared" si="22"/>
        <v>-11.834319526627219</v>
      </c>
      <c r="J148" s="107">
        <v>97</v>
      </c>
      <c r="K148" s="84">
        <f t="shared" si="23"/>
        <v>-34.899328859060404</v>
      </c>
      <c r="L148" s="111">
        <f t="shared" si="24"/>
        <v>0.0015457650022867762</v>
      </c>
      <c r="M148" s="76"/>
    </row>
    <row r="149" spans="1:13" ht="12.75">
      <c r="A149" s="122">
        <v>30</v>
      </c>
      <c r="B149" s="109" t="s">
        <v>196</v>
      </c>
      <c r="C149" s="148">
        <v>2138</v>
      </c>
      <c r="D149" s="107">
        <v>3793</v>
      </c>
      <c r="E149" s="83">
        <f t="shared" si="20"/>
        <v>77.4087932647334</v>
      </c>
      <c r="F149" s="107">
        <v>6447</v>
      </c>
      <c r="G149" s="83">
        <f t="shared" si="21"/>
        <v>69.97099920906933</v>
      </c>
      <c r="H149" s="107">
        <v>6867</v>
      </c>
      <c r="I149" s="84">
        <f t="shared" si="22"/>
        <v>6.514657980456026</v>
      </c>
      <c r="J149" s="107">
        <v>7768</v>
      </c>
      <c r="K149" s="84">
        <f t="shared" si="23"/>
        <v>13.12072229503422</v>
      </c>
      <c r="L149" s="111">
        <f t="shared" si="24"/>
        <v>0.12378868595632656</v>
      </c>
      <c r="M149" s="76"/>
    </row>
    <row r="150" spans="1:13" ht="12.75">
      <c r="A150" s="122">
        <v>31</v>
      </c>
      <c r="B150" s="109" t="s">
        <v>3</v>
      </c>
      <c r="C150" s="148">
        <v>1132</v>
      </c>
      <c r="D150" s="107">
        <v>1084</v>
      </c>
      <c r="E150" s="83">
        <f t="shared" si="20"/>
        <v>-4.240282685512367</v>
      </c>
      <c r="F150" s="107">
        <v>1245</v>
      </c>
      <c r="G150" s="83">
        <f t="shared" si="21"/>
        <v>14.852398523985238</v>
      </c>
      <c r="H150" s="107">
        <v>1553</v>
      </c>
      <c r="I150" s="84">
        <f t="shared" si="22"/>
        <v>24.738955823293175</v>
      </c>
      <c r="J150" s="107">
        <v>1215</v>
      </c>
      <c r="K150" s="84">
        <f t="shared" si="23"/>
        <v>-21.764327108821636</v>
      </c>
      <c r="L150" s="111">
        <f t="shared" si="24"/>
        <v>0.01936190183276735</v>
      </c>
      <c r="M150" s="76"/>
    </row>
    <row r="151" spans="1:13" ht="12.75">
      <c r="A151" s="122">
        <v>32</v>
      </c>
      <c r="B151" s="109" t="s">
        <v>200</v>
      </c>
      <c r="C151" s="148">
        <v>201</v>
      </c>
      <c r="D151" s="107">
        <v>330</v>
      </c>
      <c r="E151" s="83">
        <f t="shared" si="20"/>
        <v>64.17910447761194</v>
      </c>
      <c r="F151" s="107">
        <v>662</v>
      </c>
      <c r="G151" s="83">
        <f t="shared" si="21"/>
        <v>100.60606060606061</v>
      </c>
      <c r="H151" s="107">
        <v>945</v>
      </c>
      <c r="I151" s="84">
        <f t="shared" si="22"/>
        <v>42.74924471299094</v>
      </c>
      <c r="J151" s="107">
        <v>968</v>
      </c>
      <c r="K151" s="84">
        <f t="shared" si="23"/>
        <v>2.433862433862434</v>
      </c>
      <c r="L151" s="111">
        <f t="shared" si="24"/>
        <v>0.015425778579521642</v>
      </c>
      <c r="M151" s="76"/>
    </row>
    <row r="152" spans="1:14" ht="12.75">
      <c r="A152" s="122">
        <v>33</v>
      </c>
      <c r="B152" s="109" t="s">
        <v>199</v>
      </c>
      <c r="C152" s="148">
        <v>415</v>
      </c>
      <c r="D152" s="107">
        <v>639</v>
      </c>
      <c r="E152" s="83">
        <f t="shared" si="20"/>
        <v>53.975903614457835</v>
      </c>
      <c r="F152" s="107">
        <v>1599</v>
      </c>
      <c r="G152" s="83">
        <f t="shared" si="21"/>
        <v>150.23474178403754</v>
      </c>
      <c r="H152" s="107">
        <v>978</v>
      </c>
      <c r="I152" s="84">
        <f t="shared" si="22"/>
        <v>-38.83677298311445</v>
      </c>
      <c r="J152" s="107">
        <v>795</v>
      </c>
      <c r="K152" s="84">
        <f t="shared" si="23"/>
        <v>-18.711656441717793</v>
      </c>
      <c r="L152" s="111">
        <f t="shared" si="24"/>
        <v>0.01266889873008234</v>
      </c>
      <c r="M152" s="76"/>
      <c r="N152" s="4">
        <f>1392104-J171</f>
        <v>-93188</v>
      </c>
    </row>
    <row r="153" spans="1:13" ht="12.75">
      <c r="A153" s="122">
        <v>34</v>
      </c>
      <c r="B153" s="109" t="s">
        <v>201</v>
      </c>
      <c r="C153" s="148">
        <v>40</v>
      </c>
      <c r="D153" s="107">
        <v>69</v>
      </c>
      <c r="E153" s="83">
        <f t="shared" si="20"/>
        <v>72.5</v>
      </c>
      <c r="F153" s="107">
        <v>83</v>
      </c>
      <c r="G153" s="83">
        <f t="shared" si="21"/>
        <v>20.28985507246377</v>
      </c>
      <c r="H153" s="107">
        <v>115</v>
      </c>
      <c r="I153" s="84">
        <f t="shared" si="22"/>
        <v>38.55421686746988</v>
      </c>
      <c r="J153" s="107">
        <v>61</v>
      </c>
      <c r="K153" s="84">
        <f t="shared" si="23"/>
        <v>-46.95652173913044</v>
      </c>
      <c r="L153" s="111">
        <f t="shared" si="24"/>
        <v>0.0009720790220566324</v>
      </c>
      <c r="M153" s="76"/>
    </row>
    <row r="154" spans="1:13" ht="12.75">
      <c r="A154" s="122">
        <v>35</v>
      </c>
      <c r="B154" s="109" t="s">
        <v>92</v>
      </c>
      <c r="C154" s="148">
        <v>11383</v>
      </c>
      <c r="D154" s="107">
        <v>12459</v>
      </c>
      <c r="E154" s="83">
        <f t="shared" si="20"/>
        <v>9.45269261178951</v>
      </c>
      <c r="F154" s="107">
        <v>15841</v>
      </c>
      <c r="G154" s="83">
        <f t="shared" si="21"/>
        <v>27.14503571715226</v>
      </c>
      <c r="H154" s="107">
        <v>18223</v>
      </c>
      <c r="I154" s="84">
        <f t="shared" si="22"/>
        <v>15.036929486774826</v>
      </c>
      <c r="J154" s="107">
        <v>16950</v>
      </c>
      <c r="K154" s="84">
        <f t="shared" si="23"/>
        <v>-6.985677440597048</v>
      </c>
      <c r="L154" s="111">
        <f t="shared" si="24"/>
        <v>0.2701104823583593</v>
      </c>
      <c r="M154" s="76"/>
    </row>
    <row r="155" spans="1:13" ht="12.75">
      <c r="A155" s="122">
        <v>36</v>
      </c>
      <c r="B155" s="109" t="s">
        <v>203</v>
      </c>
      <c r="C155" s="148">
        <v>10429</v>
      </c>
      <c r="D155" s="107">
        <v>17730</v>
      </c>
      <c r="E155" s="83">
        <f t="shared" si="20"/>
        <v>70.00671205292933</v>
      </c>
      <c r="F155" s="107">
        <v>19761</v>
      </c>
      <c r="G155" s="83">
        <f t="shared" si="21"/>
        <v>11.455160744500846</v>
      </c>
      <c r="H155" s="107">
        <v>22484</v>
      </c>
      <c r="I155" s="84">
        <f t="shared" si="22"/>
        <v>13.779667020899753</v>
      </c>
      <c r="J155" s="107">
        <v>30281</v>
      </c>
      <c r="K155" s="84">
        <f t="shared" si="23"/>
        <v>34.677993239637075</v>
      </c>
      <c r="L155" s="111">
        <f t="shared" si="24"/>
        <v>0.4825495879819161</v>
      </c>
      <c r="M155" s="76"/>
    </row>
    <row r="156" spans="1:13" ht="12.75">
      <c r="A156" s="122">
        <v>37</v>
      </c>
      <c r="B156" s="109" t="s">
        <v>95</v>
      </c>
      <c r="C156" s="148">
        <v>16615</v>
      </c>
      <c r="D156" s="107">
        <v>21167</v>
      </c>
      <c r="E156" s="83">
        <f t="shared" si="20"/>
        <v>27.396930484501958</v>
      </c>
      <c r="F156" s="107">
        <v>25052</v>
      </c>
      <c r="G156" s="83">
        <f t="shared" si="21"/>
        <v>18.35404166863514</v>
      </c>
      <c r="H156" s="107">
        <v>29954</v>
      </c>
      <c r="I156" s="84">
        <f t="shared" si="22"/>
        <v>19.56730001596679</v>
      </c>
      <c r="J156" s="107">
        <v>28906</v>
      </c>
      <c r="K156" s="84">
        <f t="shared" si="23"/>
        <v>-3.4986980036055284</v>
      </c>
      <c r="L156" s="111">
        <f t="shared" si="24"/>
        <v>0.4606379706814593</v>
      </c>
      <c r="M156" s="76"/>
    </row>
    <row r="157" spans="1:13" ht="12.75">
      <c r="A157" s="122">
        <v>38</v>
      </c>
      <c r="B157" s="109" t="s">
        <v>204</v>
      </c>
      <c r="C157" s="148">
        <v>6524</v>
      </c>
      <c r="D157" s="107">
        <v>7266</v>
      </c>
      <c r="E157" s="83">
        <f t="shared" si="20"/>
        <v>11.373390557939913</v>
      </c>
      <c r="F157" s="107">
        <v>10025</v>
      </c>
      <c r="G157" s="83">
        <f t="shared" si="21"/>
        <v>37.97137352050647</v>
      </c>
      <c r="H157" s="107">
        <v>11786</v>
      </c>
      <c r="I157" s="84">
        <f t="shared" si="22"/>
        <v>17.566084788029926</v>
      </c>
      <c r="J157" s="107">
        <v>15208</v>
      </c>
      <c r="K157" s="84">
        <f t="shared" si="23"/>
        <v>29.034447649753947</v>
      </c>
      <c r="L157" s="111">
        <f t="shared" si="24"/>
        <v>0.2423504552038896</v>
      </c>
      <c r="M157" s="76"/>
    </row>
    <row r="158" spans="1:13" ht="12.75">
      <c r="A158" s="122">
        <v>39</v>
      </c>
      <c r="B158" s="109" t="s">
        <v>96</v>
      </c>
      <c r="C158" s="148">
        <v>51805</v>
      </c>
      <c r="D158" s="107">
        <v>66967</v>
      </c>
      <c r="E158" s="83">
        <f t="shared" si="20"/>
        <v>29.267445227294665</v>
      </c>
      <c r="F158" s="107">
        <v>94898</v>
      </c>
      <c r="G158" s="83">
        <f t="shared" si="21"/>
        <v>41.70860274463542</v>
      </c>
      <c r="H158" s="107">
        <v>111601</v>
      </c>
      <c r="I158" s="84">
        <f t="shared" si="22"/>
        <v>17.601003182364224</v>
      </c>
      <c r="J158" s="107">
        <v>143238</v>
      </c>
      <c r="K158" s="84">
        <f t="shared" si="23"/>
        <v>28.348312291108503</v>
      </c>
      <c r="L158" s="111">
        <f t="shared" si="24"/>
        <v>2.2826009010057033</v>
      </c>
      <c r="M158" s="76"/>
    </row>
    <row r="159" spans="1:13" ht="12.75">
      <c r="A159" s="122">
        <v>40</v>
      </c>
      <c r="B159" s="109" t="s">
        <v>209</v>
      </c>
      <c r="C159" s="148">
        <v>7</v>
      </c>
      <c r="D159" s="107">
        <v>23</v>
      </c>
      <c r="E159" s="83">
        <f t="shared" si="20"/>
        <v>228.57142857142856</v>
      </c>
      <c r="F159" s="107">
        <v>28</v>
      </c>
      <c r="G159" s="83">
        <f t="shared" si="21"/>
        <v>21.73913043478261</v>
      </c>
      <c r="H159" s="107">
        <v>37</v>
      </c>
      <c r="I159" s="84">
        <f t="shared" si="22"/>
        <v>32.142857142857146</v>
      </c>
      <c r="J159" s="107">
        <v>18</v>
      </c>
      <c r="K159" s="84">
        <f t="shared" si="23"/>
        <v>-51.35135135135135</v>
      </c>
      <c r="L159" s="111">
        <f t="shared" si="24"/>
        <v>0.00028684299011507184</v>
      </c>
      <c r="M159" s="76"/>
    </row>
    <row r="160" spans="1:13" ht="12.75">
      <c r="A160" s="122">
        <v>41</v>
      </c>
      <c r="B160" s="109" t="s">
        <v>205</v>
      </c>
      <c r="C160" s="148">
        <v>0</v>
      </c>
      <c r="D160" s="148">
        <v>0</v>
      </c>
      <c r="E160" s="83" t="s">
        <v>244</v>
      </c>
      <c r="F160" s="84" t="s">
        <v>244</v>
      </c>
      <c r="G160" s="148">
        <v>0</v>
      </c>
      <c r="H160" s="84">
        <v>1</v>
      </c>
      <c r="I160" s="84" t="s">
        <v>244</v>
      </c>
      <c r="J160" s="173">
        <v>0</v>
      </c>
      <c r="K160" s="84" t="s">
        <v>244</v>
      </c>
      <c r="L160" s="111">
        <v>0</v>
      </c>
      <c r="M160" s="76"/>
    </row>
    <row r="161" spans="1:13" ht="12.75">
      <c r="A161" s="122">
        <v>42</v>
      </c>
      <c r="B161" s="105" t="s">
        <v>210</v>
      </c>
      <c r="C161" s="148">
        <v>965</v>
      </c>
      <c r="D161" s="107">
        <v>1673</v>
      </c>
      <c r="E161" s="83">
        <f t="shared" si="20"/>
        <v>73.36787564766838</v>
      </c>
      <c r="F161" s="107">
        <v>3234</v>
      </c>
      <c r="G161" s="83">
        <f t="shared" si="21"/>
        <v>93.30543933054393</v>
      </c>
      <c r="H161" s="107">
        <v>4006</v>
      </c>
      <c r="I161" s="84">
        <f t="shared" si="22"/>
        <v>23.871366728509585</v>
      </c>
      <c r="J161" s="107">
        <f>4460+175</f>
        <v>4635</v>
      </c>
      <c r="K161" s="84">
        <f t="shared" si="23"/>
        <v>15.701447828257614</v>
      </c>
      <c r="L161" s="111">
        <f t="shared" si="24"/>
        <v>0.073862069954631</v>
      </c>
      <c r="M161" s="76"/>
    </row>
    <row r="162" spans="1:13" ht="12.75">
      <c r="A162" s="122">
        <v>43</v>
      </c>
      <c r="B162" s="109" t="s">
        <v>207</v>
      </c>
      <c r="C162" s="148">
        <v>3799</v>
      </c>
      <c r="D162" s="107">
        <v>4629</v>
      </c>
      <c r="E162" s="83">
        <f t="shared" si="20"/>
        <v>21.847854698604895</v>
      </c>
      <c r="F162" s="107">
        <v>6318</v>
      </c>
      <c r="G162" s="83">
        <f t="shared" si="21"/>
        <v>36.48736228127025</v>
      </c>
      <c r="H162" s="107">
        <v>7316</v>
      </c>
      <c r="I162" s="84">
        <f t="shared" si="22"/>
        <v>15.796138018360239</v>
      </c>
      <c r="J162" s="107">
        <v>7465</v>
      </c>
      <c r="K162" s="84">
        <f t="shared" si="23"/>
        <v>2.0366320393657733</v>
      </c>
      <c r="L162" s="111">
        <f t="shared" si="24"/>
        <v>0.1189601622893895</v>
      </c>
      <c r="M162" s="76"/>
    </row>
    <row r="163" spans="1:13" ht="12.75">
      <c r="A163" s="122">
        <v>44</v>
      </c>
      <c r="B163" s="109" t="s">
        <v>206</v>
      </c>
      <c r="C163" s="148">
        <v>1593</v>
      </c>
      <c r="D163" s="107">
        <v>1751</v>
      </c>
      <c r="E163" s="83">
        <f t="shared" si="20"/>
        <v>9.918392969240426</v>
      </c>
      <c r="F163" s="107">
        <v>2595</v>
      </c>
      <c r="G163" s="83">
        <f t="shared" si="21"/>
        <v>48.20102798400914</v>
      </c>
      <c r="H163" s="107">
        <v>2479</v>
      </c>
      <c r="I163" s="84">
        <f t="shared" si="22"/>
        <v>-4.470134874759153</v>
      </c>
      <c r="J163" s="107">
        <v>2935</v>
      </c>
      <c r="K163" s="84">
        <f t="shared" si="23"/>
        <v>18.39451391690198</v>
      </c>
      <c r="L163" s="111">
        <f t="shared" si="24"/>
        <v>0.04677134311042977</v>
      </c>
      <c r="M163" s="76"/>
    </row>
    <row r="164" spans="1:13" ht="12.75">
      <c r="A164" s="122">
        <v>45</v>
      </c>
      <c r="B164" s="109" t="s">
        <v>208</v>
      </c>
      <c r="C164" s="148">
        <v>27857</v>
      </c>
      <c r="D164" s="107">
        <v>37612</v>
      </c>
      <c r="E164" s="83">
        <f t="shared" si="20"/>
        <v>35.018128298093835</v>
      </c>
      <c r="F164" s="107">
        <v>44690</v>
      </c>
      <c r="G164" s="83">
        <f t="shared" si="21"/>
        <v>18.818462192917153</v>
      </c>
      <c r="H164" s="107">
        <v>51278</v>
      </c>
      <c r="I164" s="84">
        <f t="shared" si="22"/>
        <v>14.741552920116357</v>
      </c>
      <c r="J164" s="107">
        <v>56431</v>
      </c>
      <c r="K164" s="84">
        <f t="shared" si="23"/>
        <v>10.049143882366707</v>
      </c>
      <c r="L164" s="111">
        <f t="shared" si="24"/>
        <v>0.8992687097324233</v>
      </c>
      <c r="M164" s="76"/>
    </row>
    <row r="165" spans="1:13" ht="12.75">
      <c r="A165" s="122">
        <v>46</v>
      </c>
      <c r="B165" s="109" t="s">
        <v>93</v>
      </c>
      <c r="C165" s="148">
        <v>25743</v>
      </c>
      <c r="D165" s="107">
        <v>33442</v>
      </c>
      <c r="E165" s="83">
        <f t="shared" si="20"/>
        <v>29.907159227751233</v>
      </c>
      <c r="F165" s="107">
        <v>38392</v>
      </c>
      <c r="G165" s="83">
        <f t="shared" si="21"/>
        <v>14.801746307039052</v>
      </c>
      <c r="H165" s="107">
        <v>39140</v>
      </c>
      <c r="I165" s="84">
        <f t="shared" si="22"/>
        <v>1.9483225672015003</v>
      </c>
      <c r="J165" s="107">
        <v>36266</v>
      </c>
      <c r="K165" s="84">
        <f t="shared" si="23"/>
        <v>-7.342871742462953</v>
      </c>
      <c r="L165" s="111">
        <f t="shared" si="24"/>
        <v>0.5779248821951776</v>
      </c>
      <c r="M165" s="76"/>
    </row>
    <row r="166" spans="1:13" ht="12.75">
      <c r="A166" s="122">
        <v>47</v>
      </c>
      <c r="B166" s="109" t="s">
        <v>4</v>
      </c>
      <c r="C166" s="148">
        <v>34445</v>
      </c>
      <c r="D166" s="107">
        <v>38431</v>
      </c>
      <c r="E166" s="83">
        <f t="shared" si="20"/>
        <v>11.572071418202933</v>
      </c>
      <c r="F166" s="107">
        <v>41914</v>
      </c>
      <c r="G166" s="83">
        <f t="shared" si="21"/>
        <v>9.062996018838957</v>
      </c>
      <c r="H166" s="107">
        <v>41706</v>
      </c>
      <c r="I166" s="84">
        <f t="shared" si="22"/>
        <v>-0.49625423486185993</v>
      </c>
      <c r="J166" s="107">
        <v>34495</v>
      </c>
      <c r="K166" s="84">
        <f t="shared" si="23"/>
        <v>-17.2900781662111</v>
      </c>
      <c r="L166" s="111">
        <f t="shared" si="24"/>
        <v>0.549702719112189</v>
      </c>
      <c r="M166" s="76"/>
    </row>
    <row r="167" spans="1:13" ht="12.75">
      <c r="A167" s="122">
        <v>48</v>
      </c>
      <c r="B167" s="109" t="s">
        <v>211</v>
      </c>
      <c r="C167" s="148">
        <v>393</v>
      </c>
      <c r="D167" s="107">
        <v>75</v>
      </c>
      <c r="E167" s="83">
        <f t="shared" si="20"/>
        <v>-80.91603053435115</v>
      </c>
      <c r="F167" s="107">
        <v>101</v>
      </c>
      <c r="G167" s="83">
        <f t="shared" si="21"/>
        <v>34.66666666666667</v>
      </c>
      <c r="H167" s="107">
        <v>191</v>
      </c>
      <c r="I167" s="84">
        <f t="shared" si="22"/>
        <v>89.10891089108911</v>
      </c>
      <c r="J167" s="107">
        <v>210</v>
      </c>
      <c r="K167" s="84">
        <f t="shared" si="23"/>
        <v>9.947643979057592</v>
      </c>
      <c r="L167" s="111">
        <f t="shared" si="24"/>
        <v>0.003346501551342505</v>
      </c>
      <c r="M167" s="76"/>
    </row>
    <row r="168" spans="1:13" ht="12.75">
      <c r="A168" s="122">
        <v>49</v>
      </c>
      <c r="B168" s="109" t="s">
        <v>212</v>
      </c>
      <c r="C168" s="148">
        <v>4088</v>
      </c>
      <c r="D168" s="107">
        <v>7557</v>
      </c>
      <c r="E168" s="83">
        <f t="shared" si="20"/>
        <v>84.85812133072407</v>
      </c>
      <c r="F168" s="107">
        <v>14587</v>
      </c>
      <c r="G168" s="83">
        <f t="shared" si="21"/>
        <v>93.0263332010057</v>
      </c>
      <c r="H168" s="107">
        <v>22922</v>
      </c>
      <c r="I168" s="84">
        <f t="shared" si="22"/>
        <v>57.13991910605334</v>
      </c>
      <c r="J168" s="107">
        <v>29378</v>
      </c>
      <c r="K168" s="84">
        <f t="shared" si="23"/>
        <v>28.165081581013872</v>
      </c>
      <c r="L168" s="111">
        <f t="shared" si="24"/>
        <v>0.4681596313111434</v>
      </c>
      <c r="M168" s="76"/>
    </row>
    <row r="169" spans="1:13" ht="12.75">
      <c r="A169" s="122">
        <v>50</v>
      </c>
      <c r="B169" s="109" t="s">
        <v>213</v>
      </c>
      <c r="C169" s="148">
        <v>928</v>
      </c>
      <c r="D169" s="107">
        <v>2266</v>
      </c>
      <c r="E169" s="83">
        <f t="shared" si="20"/>
        <v>144.18103448275863</v>
      </c>
      <c r="F169" s="107">
        <v>2738</v>
      </c>
      <c r="G169" s="83">
        <f t="shared" si="21"/>
        <v>20.82965578111209</v>
      </c>
      <c r="H169" s="107">
        <v>2056</v>
      </c>
      <c r="I169" s="84">
        <f t="shared" si="22"/>
        <v>-24.908692476260043</v>
      </c>
      <c r="J169" s="107">
        <v>2144</v>
      </c>
      <c r="K169" s="84">
        <f t="shared" si="23"/>
        <v>4.280155642023346</v>
      </c>
      <c r="L169" s="111">
        <f t="shared" si="24"/>
        <v>0.03416618726703967</v>
      </c>
      <c r="M169" s="76"/>
    </row>
    <row r="170" spans="1:13" ht="12.75">
      <c r="A170" s="122">
        <v>51</v>
      </c>
      <c r="B170" s="109" t="s">
        <v>214</v>
      </c>
      <c r="C170" s="148">
        <v>0</v>
      </c>
      <c r="D170" s="148">
        <v>0</v>
      </c>
      <c r="E170" s="83" t="s">
        <v>244</v>
      </c>
      <c r="F170" s="148">
        <v>1</v>
      </c>
      <c r="G170" s="83" t="s">
        <v>244</v>
      </c>
      <c r="H170" s="169">
        <v>0</v>
      </c>
      <c r="I170" s="84" t="s">
        <v>244</v>
      </c>
      <c r="J170" s="169">
        <v>1</v>
      </c>
      <c r="K170" s="84" t="s">
        <v>244</v>
      </c>
      <c r="L170" s="111">
        <f t="shared" si="24"/>
        <v>1.5935721673059547E-05</v>
      </c>
      <c r="M170" s="76"/>
    </row>
    <row r="171" spans="1:15" ht="13.5" thickBot="1">
      <c r="A171" s="126"/>
      <c r="B171" s="127" t="s">
        <v>2</v>
      </c>
      <c r="C171" s="146">
        <f>SUM(C120:C170)</f>
        <v>845949</v>
      </c>
      <c r="D171" s="146">
        <f>SUM(D120:D170)</f>
        <v>1076947</v>
      </c>
      <c r="E171" s="129">
        <f>SUM(D171-C171)/C171*100</f>
        <v>27.30637426133254</v>
      </c>
      <c r="F171" s="146">
        <f>SUM(F120:F170)</f>
        <v>1262587</v>
      </c>
      <c r="G171" s="129">
        <f>SUM(F171-D171)/D171*100</f>
        <v>17.23761707864918</v>
      </c>
      <c r="H171" s="146">
        <f>SUM(H120:H170)</f>
        <v>1392104</v>
      </c>
      <c r="I171" s="130">
        <f>(H171-F171)/F171*100</f>
        <v>10.258065384801206</v>
      </c>
      <c r="J171" s="128">
        <f>SUM(J120:J170)</f>
        <v>1485292</v>
      </c>
      <c r="K171" s="129">
        <f>(J171-H171)/H171*100</f>
        <v>6.694040100452265</v>
      </c>
      <c r="L171" s="131">
        <f t="shared" si="24"/>
        <v>23.66919991522196</v>
      </c>
      <c r="M171" s="77"/>
      <c r="N171" s="4"/>
      <c r="O171" s="4"/>
    </row>
    <row r="172" spans="1:15" ht="14.25" thickBot="1" thickTop="1">
      <c r="A172" s="112" t="s">
        <v>54</v>
      </c>
      <c r="B172" s="136" t="s">
        <v>240</v>
      </c>
      <c r="C172" s="180"/>
      <c r="D172" s="181"/>
      <c r="E172" s="181"/>
      <c r="F172" s="181"/>
      <c r="G172" s="181"/>
      <c r="H172" s="181"/>
      <c r="I172" s="181"/>
      <c r="J172" s="181"/>
      <c r="K172" s="181"/>
      <c r="L172" s="182"/>
      <c r="M172" s="77"/>
      <c r="N172" s="4"/>
      <c r="O172" s="4"/>
    </row>
    <row r="173" spans="1:15" ht="13.5" thickTop="1">
      <c r="A173" s="122">
        <v>1</v>
      </c>
      <c r="B173" s="103" t="s">
        <v>217</v>
      </c>
      <c r="C173" s="145">
        <v>35</v>
      </c>
      <c r="D173" s="89">
        <v>48</v>
      </c>
      <c r="E173" s="83">
        <v>0</v>
      </c>
      <c r="F173" s="89">
        <v>47</v>
      </c>
      <c r="G173" s="83" t="s">
        <v>244</v>
      </c>
      <c r="H173" s="89">
        <v>80</v>
      </c>
      <c r="I173" s="90">
        <f aca="true" t="shared" si="25" ref="I173:I196">SUM(H173-F173)/F173*100</f>
        <v>70.2127659574468</v>
      </c>
      <c r="J173" s="89">
        <v>55</v>
      </c>
      <c r="K173" s="84">
        <f aca="true" t="shared" si="26" ref="K173:K196">(J173-H173)/H173*100</f>
        <v>-31.25</v>
      </c>
      <c r="L173" s="111">
        <f aca="true" t="shared" si="27" ref="L173:L197">J173/$J$197*100</f>
        <v>0.0008764646920182751</v>
      </c>
      <c r="M173" s="77"/>
      <c r="N173" s="4"/>
      <c r="O173" s="4"/>
    </row>
    <row r="174" spans="1:15" ht="12.75">
      <c r="A174" s="122">
        <v>2</v>
      </c>
      <c r="B174" s="104" t="s">
        <v>218</v>
      </c>
      <c r="C174" s="142">
        <v>582</v>
      </c>
      <c r="D174" s="82">
        <v>709</v>
      </c>
      <c r="E174" s="83">
        <f aca="true" t="shared" si="28" ref="E174:E194">SUM(D174-C174)/C174*100</f>
        <v>21.8213058419244</v>
      </c>
      <c r="F174" s="82">
        <v>723</v>
      </c>
      <c r="G174" s="83">
        <f>SUM(F174-D174)/D174*100</f>
        <v>1.9746121297602257</v>
      </c>
      <c r="H174" s="82">
        <v>566</v>
      </c>
      <c r="I174" s="84">
        <f t="shared" si="25"/>
        <v>-21.715076071922546</v>
      </c>
      <c r="J174" s="82">
        <v>866</v>
      </c>
      <c r="K174" s="84">
        <f t="shared" si="26"/>
        <v>53.003533568904594</v>
      </c>
      <c r="L174" s="111">
        <f t="shared" si="27"/>
        <v>0.013800334968869569</v>
      </c>
      <c r="M174" s="77"/>
      <c r="N174" s="4"/>
      <c r="O174" s="4"/>
    </row>
    <row r="175" spans="1:15" ht="12.75">
      <c r="A175" s="122">
        <v>3</v>
      </c>
      <c r="B175" s="104" t="s">
        <v>219</v>
      </c>
      <c r="C175" s="142">
        <v>380</v>
      </c>
      <c r="D175" s="82">
        <v>728</v>
      </c>
      <c r="E175" s="83">
        <v>0</v>
      </c>
      <c r="F175" s="82">
        <v>1145</v>
      </c>
      <c r="G175" s="83" t="s">
        <v>244</v>
      </c>
      <c r="H175" s="82">
        <v>1555</v>
      </c>
      <c r="I175" s="84">
        <f t="shared" si="25"/>
        <v>35.80786026200873</v>
      </c>
      <c r="J175" s="82">
        <v>1609</v>
      </c>
      <c r="K175" s="84">
        <f t="shared" si="26"/>
        <v>3.4726688102893895</v>
      </c>
      <c r="L175" s="111">
        <f t="shared" si="27"/>
        <v>0.025640576171952815</v>
      </c>
      <c r="M175" s="77"/>
      <c r="N175" s="4"/>
      <c r="O175" s="4"/>
    </row>
    <row r="176" spans="1:15" ht="12.75">
      <c r="A176" s="122">
        <v>4</v>
      </c>
      <c r="B176" s="104" t="s">
        <v>220</v>
      </c>
      <c r="C176" s="142">
        <v>0</v>
      </c>
      <c r="D176" s="142">
        <v>0</v>
      </c>
      <c r="E176" s="83" t="s">
        <v>244</v>
      </c>
      <c r="F176" s="84" t="s">
        <v>244</v>
      </c>
      <c r="G176" s="170" t="s">
        <v>244</v>
      </c>
      <c r="H176" s="168" t="s">
        <v>244</v>
      </c>
      <c r="I176" s="84" t="s">
        <v>244</v>
      </c>
      <c r="J176" s="172">
        <v>0</v>
      </c>
      <c r="K176" s="84" t="s">
        <v>244</v>
      </c>
      <c r="L176" s="111">
        <v>0</v>
      </c>
      <c r="M176" s="77"/>
      <c r="N176" s="4"/>
      <c r="O176" s="4"/>
    </row>
    <row r="177" spans="1:15" ht="12.75">
      <c r="A177" s="122">
        <v>5</v>
      </c>
      <c r="B177" s="104" t="s">
        <v>228</v>
      </c>
      <c r="C177" s="142">
        <v>4358</v>
      </c>
      <c r="D177" s="82">
        <v>7900</v>
      </c>
      <c r="E177" s="83">
        <f t="shared" si="28"/>
        <v>81.2758145938504</v>
      </c>
      <c r="F177" s="82">
        <v>9442</v>
      </c>
      <c r="G177" s="83">
        <f aca="true" t="shared" si="29" ref="G177:G194">SUM(F177-D177)/D177*100</f>
        <v>19.51898734177215</v>
      </c>
      <c r="H177" s="82">
        <v>11136</v>
      </c>
      <c r="I177" s="84">
        <f t="shared" si="25"/>
        <v>17.94111417072654</v>
      </c>
      <c r="J177" s="82">
        <v>13992</v>
      </c>
      <c r="K177" s="84">
        <f t="shared" si="26"/>
        <v>25.646551724137932</v>
      </c>
      <c r="L177" s="111">
        <f t="shared" si="27"/>
        <v>0.22297261764944917</v>
      </c>
      <c r="M177" s="77"/>
      <c r="N177" s="4"/>
      <c r="O177" s="4"/>
    </row>
    <row r="178" spans="1:15" ht="12.75">
      <c r="A178" s="122">
        <v>6</v>
      </c>
      <c r="B178" s="104" t="s">
        <v>235</v>
      </c>
      <c r="C178" s="142">
        <v>1361</v>
      </c>
      <c r="D178" s="82">
        <v>1855</v>
      </c>
      <c r="E178" s="83">
        <f t="shared" si="28"/>
        <v>36.29684055841293</v>
      </c>
      <c r="F178" s="82">
        <v>1904</v>
      </c>
      <c r="G178" s="83">
        <f t="shared" si="29"/>
        <v>2.6415094339622645</v>
      </c>
      <c r="H178" s="82">
        <v>2580</v>
      </c>
      <c r="I178" s="84">
        <f t="shared" si="25"/>
        <v>35.50420168067227</v>
      </c>
      <c r="J178" s="82">
        <v>3035</v>
      </c>
      <c r="K178" s="84">
        <f t="shared" si="26"/>
        <v>17.635658914728683</v>
      </c>
      <c r="L178" s="111">
        <f t="shared" si="27"/>
        <v>0.048364915277735725</v>
      </c>
      <c r="M178" s="77"/>
      <c r="N178" s="4"/>
      <c r="O178" s="4"/>
    </row>
    <row r="179" spans="1:15" ht="12.75">
      <c r="A179" s="122">
        <v>7</v>
      </c>
      <c r="B179" s="104" t="s">
        <v>222</v>
      </c>
      <c r="C179" s="142">
        <v>3458</v>
      </c>
      <c r="D179" s="82">
        <v>7785</v>
      </c>
      <c r="E179" s="83">
        <v>0</v>
      </c>
      <c r="F179" s="82">
        <v>13079</v>
      </c>
      <c r="G179" s="83" t="s">
        <v>244</v>
      </c>
      <c r="H179" s="82">
        <v>8230</v>
      </c>
      <c r="I179" s="84">
        <f t="shared" si="25"/>
        <v>-37.07469990060402</v>
      </c>
      <c r="J179" s="82">
        <v>8159</v>
      </c>
      <c r="K179" s="84">
        <f t="shared" si="26"/>
        <v>-0.8626974483596598</v>
      </c>
      <c r="L179" s="111">
        <f t="shared" si="27"/>
        <v>0.13001955313049285</v>
      </c>
      <c r="M179" s="77"/>
      <c r="N179" s="4"/>
      <c r="O179" s="4"/>
    </row>
    <row r="180" spans="1:15" ht="12.75">
      <c r="A180" s="122">
        <v>8</v>
      </c>
      <c r="B180" s="104" t="s">
        <v>221</v>
      </c>
      <c r="C180" s="142">
        <v>625</v>
      </c>
      <c r="D180" s="82">
        <v>299</v>
      </c>
      <c r="E180" s="83">
        <f t="shared" si="28"/>
        <v>-52.16</v>
      </c>
      <c r="F180" s="82">
        <v>798</v>
      </c>
      <c r="G180" s="83">
        <f t="shared" si="29"/>
        <v>166.8896321070234</v>
      </c>
      <c r="H180" s="82">
        <v>1012</v>
      </c>
      <c r="I180" s="84">
        <f t="shared" si="25"/>
        <v>26.81704260651629</v>
      </c>
      <c r="J180" s="82">
        <v>1491</v>
      </c>
      <c r="K180" s="84">
        <f t="shared" si="26"/>
        <v>47.33201581027668</v>
      </c>
      <c r="L180" s="111">
        <f t="shared" si="27"/>
        <v>0.023760161014531784</v>
      </c>
      <c r="M180" s="77"/>
      <c r="N180" s="4"/>
      <c r="O180" s="4"/>
    </row>
    <row r="181" spans="1:15" ht="12.75">
      <c r="A181" s="122">
        <v>9</v>
      </c>
      <c r="B181" s="104" t="s">
        <v>223</v>
      </c>
      <c r="C181" s="142">
        <v>318</v>
      </c>
      <c r="D181" s="82">
        <v>384</v>
      </c>
      <c r="E181" s="83">
        <v>0</v>
      </c>
      <c r="F181" s="82">
        <v>466</v>
      </c>
      <c r="G181" s="83" t="s">
        <v>244</v>
      </c>
      <c r="H181" s="82">
        <v>270</v>
      </c>
      <c r="I181" s="84">
        <f t="shared" si="25"/>
        <v>-42.06008583690987</v>
      </c>
      <c r="J181" s="82">
        <v>260</v>
      </c>
      <c r="K181" s="84">
        <f t="shared" si="26"/>
        <v>-3.7037037037037033</v>
      </c>
      <c r="L181" s="111">
        <f t="shared" si="27"/>
        <v>0.004143287634995482</v>
      </c>
      <c r="M181" s="77"/>
      <c r="N181" s="4"/>
      <c r="O181" s="4"/>
    </row>
    <row r="182" spans="1:15" ht="12.75">
      <c r="A182" s="122">
        <v>10</v>
      </c>
      <c r="B182" s="104" t="s">
        <v>224</v>
      </c>
      <c r="C182" s="142">
        <v>1807</v>
      </c>
      <c r="D182" s="82">
        <v>2075</v>
      </c>
      <c r="E182" s="83">
        <f t="shared" si="28"/>
        <v>14.831211953514112</v>
      </c>
      <c r="F182" s="82">
        <v>2178</v>
      </c>
      <c r="G182" s="83">
        <f t="shared" si="29"/>
        <v>4.9638554216867465</v>
      </c>
      <c r="H182" s="82">
        <v>2038</v>
      </c>
      <c r="I182" s="84">
        <f t="shared" si="25"/>
        <v>-6.42791551882461</v>
      </c>
      <c r="J182" s="82">
        <v>2681</v>
      </c>
      <c r="K182" s="84">
        <f t="shared" si="26"/>
        <v>31.55053974484789</v>
      </c>
      <c r="L182" s="111">
        <f t="shared" si="27"/>
        <v>0.042723669805472646</v>
      </c>
      <c r="M182" s="77"/>
      <c r="N182" s="4"/>
      <c r="O182" s="4"/>
    </row>
    <row r="183" spans="1:15" ht="12.75">
      <c r="A183" s="122">
        <v>11</v>
      </c>
      <c r="B183" s="104" t="s">
        <v>225</v>
      </c>
      <c r="C183" s="142">
        <v>1224</v>
      </c>
      <c r="D183" s="82">
        <v>2804</v>
      </c>
      <c r="E183" s="83">
        <v>0</v>
      </c>
      <c r="F183" s="82">
        <v>3425</v>
      </c>
      <c r="G183" s="83" t="s">
        <v>244</v>
      </c>
      <c r="H183" s="82">
        <v>4086</v>
      </c>
      <c r="I183" s="84">
        <f t="shared" si="25"/>
        <v>19.299270072992698</v>
      </c>
      <c r="J183" s="82">
        <v>4673</v>
      </c>
      <c r="K183" s="84">
        <f t="shared" si="26"/>
        <v>14.366128242780224</v>
      </c>
      <c r="L183" s="111">
        <f t="shared" si="27"/>
        <v>0.07446762737820727</v>
      </c>
      <c r="M183" s="77"/>
      <c r="N183" s="4"/>
      <c r="O183" s="4"/>
    </row>
    <row r="184" spans="1:15" ht="12.75">
      <c r="A184" s="122">
        <v>12</v>
      </c>
      <c r="B184" s="104" t="s">
        <v>226</v>
      </c>
      <c r="C184" s="142">
        <v>10</v>
      </c>
      <c r="D184" s="82">
        <v>16</v>
      </c>
      <c r="E184" s="83">
        <f t="shared" si="28"/>
        <v>60</v>
      </c>
      <c r="F184" s="82">
        <v>11</v>
      </c>
      <c r="G184" s="83">
        <f t="shared" si="29"/>
        <v>-31.25</v>
      </c>
      <c r="H184" s="82">
        <v>20</v>
      </c>
      <c r="I184" s="84">
        <f t="shared" si="25"/>
        <v>81.81818181818183</v>
      </c>
      <c r="J184" s="82">
        <v>6</v>
      </c>
      <c r="K184" s="84">
        <f t="shared" si="26"/>
        <v>-70</v>
      </c>
      <c r="L184" s="111">
        <f t="shared" si="27"/>
        <v>9.561433003835728E-05</v>
      </c>
      <c r="M184" s="77"/>
      <c r="N184" s="4"/>
      <c r="O184" s="4"/>
    </row>
    <row r="185" spans="1:15" ht="12.75">
      <c r="A185" s="122">
        <v>13</v>
      </c>
      <c r="B185" s="104" t="s">
        <v>227</v>
      </c>
      <c r="C185" s="142">
        <v>733</v>
      </c>
      <c r="D185" s="82">
        <v>784</v>
      </c>
      <c r="E185" s="83">
        <v>0</v>
      </c>
      <c r="F185" s="82">
        <v>671</v>
      </c>
      <c r="G185" s="83" t="s">
        <v>244</v>
      </c>
      <c r="H185" s="82">
        <v>777</v>
      </c>
      <c r="I185" s="84">
        <f t="shared" si="25"/>
        <v>15.797317436661698</v>
      </c>
      <c r="J185" s="82">
        <v>1303</v>
      </c>
      <c r="K185" s="84">
        <f t="shared" si="26"/>
        <v>67.6962676962677</v>
      </c>
      <c r="L185" s="111">
        <f t="shared" si="27"/>
        <v>0.02076424533999659</v>
      </c>
      <c r="M185" s="77"/>
      <c r="N185" s="4"/>
      <c r="O185" s="4"/>
    </row>
    <row r="186" spans="1:15" ht="12.75">
      <c r="A186" s="122">
        <v>14</v>
      </c>
      <c r="B186" s="104" t="s">
        <v>229</v>
      </c>
      <c r="C186" s="142">
        <v>977</v>
      </c>
      <c r="D186" s="82">
        <v>1115</v>
      </c>
      <c r="E186" s="83">
        <f t="shared" si="28"/>
        <v>14.124872057318322</v>
      </c>
      <c r="F186" s="82">
        <v>1123</v>
      </c>
      <c r="G186" s="83">
        <f t="shared" si="29"/>
        <v>0.7174887892376681</v>
      </c>
      <c r="H186" s="82">
        <v>1130</v>
      </c>
      <c r="I186" s="84">
        <f t="shared" si="25"/>
        <v>0.6233303650934996</v>
      </c>
      <c r="J186" s="82">
        <v>1796</v>
      </c>
      <c r="K186" s="84">
        <f t="shared" si="26"/>
        <v>58.93805309734513</v>
      </c>
      <c r="L186" s="111">
        <f t="shared" si="27"/>
        <v>0.028620556124814945</v>
      </c>
      <c r="M186" s="77"/>
      <c r="N186" s="4"/>
      <c r="O186" s="4"/>
    </row>
    <row r="187" spans="1:15" ht="12.75">
      <c r="A187" s="122">
        <v>15</v>
      </c>
      <c r="B187" s="104" t="s">
        <v>230</v>
      </c>
      <c r="C187" s="142">
        <v>182</v>
      </c>
      <c r="D187" s="82">
        <v>461</v>
      </c>
      <c r="E187" s="83">
        <f t="shared" si="28"/>
        <v>153.2967032967033</v>
      </c>
      <c r="F187" s="82">
        <v>528</v>
      </c>
      <c r="G187" s="83">
        <f t="shared" si="29"/>
        <v>14.533622559652928</v>
      </c>
      <c r="H187" s="82">
        <v>660</v>
      </c>
      <c r="I187" s="84">
        <f t="shared" si="25"/>
        <v>25</v>
      </c>
      <c r="J187" s="82">
        <v>971</v>
      </c>
      <c r="K187" s="84">
        <f t="shared" si="26"/>
        <v>47.12121212121212</v>
      </c>
      <c r="L187" s="111">
        <f t="shared" si="27"/>
        <v>0.01547358574454082</v>
      </c>
      <c r="M187" s="77"/>
      <c r="N187" s="4"/>
      <c r="O187" s="4"/>
    </row>
    <row r="188" spans="1:15" ht="12.75">
      <c r="A188" s="122">
        <v>16</v>
      </c>
      <c r="B188" s="104" t="s">
        <v>231</v>
      </c>
      <c r="C188" s="142">
        <v>640</v>
      </c>
      <c r="D188" s="82">
        <v>803</v>
      </c>
      <c r="E188" s="83">
        <f t="shared" si="28"/>
        <v>25.46875</v>
      </c>
      <c r="F188" s="82">
        <v>726</v>
      </c>
      <c r="G188" s="83">
        <f t="shared" si="29"/>
        <v>-9.58904109589041</v>
      </c>
      <c r="H188" s="82">
        <v>773</v>
      </c>
      <c r="I188" s="84">
        <f t="shared" si="25"/>
        <v>6.473829201101928</v>
      </c>
      <c r="J188" s="82">
        <v>1071</v>
      </c>
      <c r="K188" s="84">
        <f t="shared" si="26"/>
        <v>38.55109961190168</v>
      </c>
      <c r="L188" s="111">
        <f t="shared" si="27"/>
        <v>0.017067157911846775</v>
      </c>
      <c r="M188" s="77"/>
      <c r="N188" s="4"/>
      <c r="O188" s="4"/>
    </row>
    <row r="189" spans="1:15" ht="12.75">
      <c r="A189" s="122">
        <v>17</v>
      </c>
      <c r="B189" s="104" t="s">
        <v>216</v>
      </c>
      <c r="C189" s="142">
        <v>7003</v>
      </c>
      <c r="D189" s="82">
        <v>10243</v>
      </c>
      <c r="E189" s="83">
        <f t="shared" si="28"/>
        <v>46.265886048836215</v>
      </c>
      <c r="F189" s="82">
        <v>10284</v>
      </c>
      <c r="G189" s="83">
        <f t="shared" si="29"/>
        <v>0.4002733574148199</v>
      </c>
      <c r="H189" s="82">
        <v>9525</v>
      </c>
      <c r="I189" s="84">
        <f t="shared" si="25"/>
        <v>-7.380396732788798</v>
      </c>
      <c r="J189" s="82">
        <v>15118</v>
      </c>
      <c r="K189" s="84">
        <f t="shared" si="26"/>
        <v>58.71916010498688</v>
      </c>
      <c r="L189" s="111">
        <f t="shared" si="27"/>
        <v>0.24091624025331426</v>
      </c>
      <c r="M189" s="77"/>
      <c r="N189" s="4"/>
      <c r="O189" s="4"/>
    </row>
    <row r="190" spans="1:15" ht="12.75">
      <c r="A190" s="122">
        <v>18</v>
      </c>
      <c r="B190" s="104" t="s">
        <v>233</v>
      </c>
      <c r="C190" s="142">
        <v>342</v>
      </c>
      <c r="D190" s="82">
        <v>711</v>
      </c>
      <c r="E190" s="83">
        <f t="shared" si="28"/>
        <v>107.89473684210526</v>
      </c>
      <c r="F190" s="82">
        <v>861</v>
      </c>
      <c r="G190" s="83">
        <f t="shared" si="29"/>
        <v>21.09704641350211</v>
      </c>
      <c r="H190" s="82">
        <v>945</v>
      </c>
      <c r="I190" s="84">
        <f t="shared" si="25"/>
        <v>9.75609756097561</v>
      </c>
      <c r="J190" s="82">
        <v>1004</v>
      </c>
      <c r="K190" s="84">
        <f t="shared" si="26"/>
        <v>6.243386243386243</v>
      </c>
      <c r="L190" s="111">
        <f t="shared" si="27"/>
        <v>0.015999464559751785</v>
      </c>
      <c r="M190" s="77"/>
      <c r="N190" s="4"/>
      <c r="O190" s="4"/>
    </row>
    <row r="191" spans="1:15" ht="12.75">
      <c r="A191" s="122">
        <v>19</v>
      </c>
      <c r="B191" s="104" t="s">
        <v>232</v>
      </c>
      <c r="C191" s="142">
        <v>391</v>
      </c>
      <c r="D191" s="82">
        <v>473</v>
      </c>
      <c r="E191" s="83">
        <f t="shared" si="28"/>
        <v>20.971867007672635</v>
      </c>
      <c r="F191" s="82">
        <v>666</v>
      </c>
      <c r="G191" s="83">
        <f t="shared" si="29"/>
        <v>40.803382663847785</v>
      </c>
      <c r="H191" s="82">
        <v>765</v>
      </c>
      <c r="I191" s="84">
        <f t="shared" si="25"/>
        <v>14.864864864864865</v>
      </c>
      <c r="J191" s="82">
        <v>1058</v>
      </c>
      <c r="K191" s="84">
        <f t="shared" si="26"/>
        <v>38.30065359477125</v>
      </c>
      <c r="L191" s="111">
        <f t="shared" si="27"/>
        <v>0.016859993530097</v>
      </c>
      <c r="M191" s="77"/>
      <c r="N191" s="4"/>
      <c r="O191" s="4"/>
    </row>
    <row r="192" spans="1:15" ht="12.75">
      <c r="A192" s="122">
        <v>20</v>
      </c>
      <c r="B192" s="104" t="s">
        <v>234</v>
      </c>
      <c r="C192" s="142">
        <v>4696</v>
      </c>
      <c r="D192" s="82">
        <v>6927</v>
      </c>
      <c r="E192" s="83">
        <f t="shared" si="28"/>
        <v>47.50851788756388</v>
      </c>
      <c r="F192" s="82">
        <v>9201</v>
      </c>
      <c r="G192" s="153">
        <f t="shared" si="29"/>
        <v>32.8280640970117</v>
      </c>
      <c r="H192" s="82">
        <v>10502</v>
      </c>
      <c r="I192" s="84">
        <f t="shared" si="25"/>
        <v>14.139767416585153</v>
      </c>
      <c r="J192" s="82">
        <v>11866</v>
      </c>
      <c r="K192" s="84">
        <f t="shared" si="26"/>
        <v>12.988002285278993</v>
      </c>
      <c r="L192" s="111">
        <f t="shared" si="27"/>
        <v>0.18909327337252457</v>
      </c>
      <c r="M192" s="77"/>
      <c r="N192" s="4"/>
      <c r="O192" s="4"/>
    </row>
    <row r="193" spans="1:15" ht="12.75">
      <c r="A193" s="122">
        <v>21</v>
      </c>
      <c r="B193" s="104" t="s">
        <v>236</v>
      </c>
      <c r="C193" s="142">
        <v>519</v>
      </c>
      <c r="D193" s="82">
        <v>526</v>
      </c>
      <c r="E193" s="83">
        <f t="shared" si="28"/>
        <v>1.348747591522158</v>
      </c>
      <c r="F193" s="82">
        <v>525</v>
      </c>
      <c r="G193" s="83">
        <f t="shared" si="29"/>
        <v>-0.19011406844106463</v>
      </c>
      <c r="H193" s="82">
        <v>704</v>
      </c>
      <c r="I193" s="84">
        <f t="shared" si="25"/>
        <v>34.095238095238095</v>
      </c>
      <c r="J193" s="82">
        <v>896</v>
      </c>
      <c r="K193" s="84">
        <f t="shared" si="26"/>
        <v>27.27272727272727</v>
      </c>
      <c r="L193" s="111">
        <f t="shared" si="27"/>
        <v>0.014278406619061353</v>
      </c>
      <c r="M193" s="77"/>
      <c r="N193" s="4"/>
      <c r="O193" s="4"/>
    </row>
    <row r="194" spans="1:15" ht="12.75">
      <c r="A194" s="122">
        <v>22</v>
      </c>
      <c r="B194" s="104" t="s">
        <v>237</v>
      </c>
      <c r="C194" s="142">
        <v>1003</v>
      </c>
      <c r="D194" s="82">
        <v>2178</v>
      </c>
      <c r="E194" s="83">
        <f t="shared" si="28"/>
        <v>117.14855433698904</v>
      </c>
      <c r="F194" s="82">
        <v>3310</v>
      </c>
      <c r="G194" s="83">
        <f t="shared" si="29"/>
        <v>51.974288337924705</v>
      </c>
      <c r="H194" s="82">
        <v>3223</v>
      </c>
      <c r="I194" s="84">
        <f t="shared" si="25"/>
        <v>-2.6283987915407856</v>
      </c>
      <c r="J194" s="82">
        <v>3749</v>
      </c>
      <c r="K194" s="84">
        <f t="shared" si="26"/>
        <v>16.320198572758297</v>
      </c>
      <c r="L194" s="111">
        <f t="shared" si="27"/>
        <v>0.05974302055230024</v>
      </c>
      <c r="M194" s="77"/>
      <c r="N194" s="4"/>
      <c r="O194" s="4"/>
    </row>
    <row r="195" spans="1:13" ht="13.5" thickBot="1">
      <c r="A195" s="133"/>
      <c r="B195" s="127" t="s">
        <v>2</v>
      </c>
      <c r="C195" s="146">
        <f>SUM(C173:C194)</f>
        <v>30644</v>
      </c>
      <c r="D195" s="146">
        <f>SUM(D173:D194)</f>
        <v>48824</v>
      </c>
      <c r="E195" s="159">
        <f>SUM(D195-C195)/C195*100</f>
        <v>59.326458686855496</v>
      </c>
      <c r="F195" s="146">
        <f>SUM(F173:F194)</f>
        <v>61113</v>
      </c>
      <c r="G195" s="159">
        <f>SUM(F195-D195)/D195*100</f>
        <v>25.169998361461577</v>
      </c>
      <c r="H195" s="146">
        <f>SUM(H173:H194)</f>
        <v>60577</v>
      </c>
      <c r="I195" s="159">
        <f>SUM(H195-F195)/F195*100</f>
        <v>-0.8770637998461867</v>
      </c>
      <c r="J195" s="128">
        <f>SUM(J173:J194)</f>
        <v>75659</v>
      </c>
      <c r="K195" s="159">
        <f>SUM(J195-H195)/H195*100</f>
        <v>24.897238225729236</v>
      </c>
      <c r="L195" s="156">
        <f t="shared" si="27"/>
        <v>1.2056807660620121</v>
      </c>
      <c r="M195" s="76"/>
    </row>
    <row r="196" spans="1:13" ht="14.25" thickBot="1" thickTop="1">
      <c r="A196" s="112" t="s">
        <v>58</v>
      </c>
      <c r="B196" s="136" t="s">
        <v>243</v>
      </c>
      <c r="C196" s="149">
        <v>43166</v>
      </c>
      <c r="D196" s="149">
        <v>46224</v>
      </c>
      <c r="E196" s="171">
        <f>SUM(D196-C196)/C196*100</f>
        <v>7.0842792938887085</v>
      </c>
      <c r="F196" s="86">
        <v>52420</v>
      </c>
      <c r="G196" s="132">
        <f>SUM(F196-D196)/D196*100</f>
        <v>13.4042921426099</v>
      </c>
      <c r="H196" s="86">
        <f>36597</f>
        <v>36597</v>
      </c>
      <c r="I196" s="160">
        <f t="shared" si="25"/>
        <v>-30.185043876383062</v>
      </c>
      <c r="J196" s="86">
        <v>38414</v>
      </c>
      <c r="K196" s="160">
        <f t="shared" si="26"/>
        <v>4.964887832335984</v>
      </c>
      <c r="L196" s="161">
        <f t="shared" si="27"/>
        <v>0.6121548123489094</v>
      </c>
      <c r="M196" s="76"/>
    </row>
    <row r="197" spans="1:13" ht="14.25" thickBot="1" thickTop="1">
      <c r="A197" s="137"/>
      <c r="B197" s="138" t="s">
        <v>242</v>
      </c>
      <c r="C197" s="93">
        <f>(C34+C45+C84+C118+C171+C195+C196)</f>
        <v>4001835</v>
      </c>
      <c r="D197" s="93">
        <f>(D34+D45+D84+D118+D171+D195+D196)</f>
        <v>4927937</v>
      </c>
      <c r="E197" s="85">
        <f>SUM(D197-C197)/C197*100</f>
        <v>23.141933637943595</v>
      </c>
      <c r="F197" s="93">
        <f>(F34+F45+F84+F118+F171+F195+F196)</f>
        <v>5697739</v>
      </c>
      <c r="G197" s="85">
        <f>SUM(F197-D197)/D197*100</f>
        <v>15.621181845465962</v>
      </c>
      <c r="H197" s="93">
        <f>(H34+H45+H84+H118+H171+H195+H196)</f>
        <v>6070473</v>
      </c>
      <c r="I197" s="87">
        <f>(H197-F197)/F197*100</f>
        <v>6.541787891653163</v>
      </c>
      <c r="J197" s="93">
        <f>(J34+J45+J84+J118+J171+J195+J196)</f>
        <v>6275210</v>
      </c>
      <c r="K197" s="87">
        <f>(J197-H197)/H197*100</f>
        <v>3.3726696420526046</v>
      </c>
      <c r="L197" s="139">
        <f t="shared" si="27"/>
        <v>100</v>
      </c>
      <c r="M197" s="76"/>
    </row>
    <row r="198" spans="1:7" ht="6.75" customHeight="1" thickTop="1">
      <c r="A198" s="124"/>
      <c r="B198" s="1"/>
      <c r="C198" s="150"/>
      <c r="D198" s="150"/>
      <c r="E198" s="1"/>
      <c r="F198" s="150"/>
      <c r="G198" s="1"/>
    </row>
    <row r="199" spans="1:7" ht="12.75">
      <c r="A199" s="125" t="s">
        <v>25</v>
      </c>
      <c r="B199" s="97" t="s">
        <v>48</v>
      </c>
      <c r="C199" s="151"/>
      <c r="D199" s="151"/>
      <c r="E199" s="98"/>
      <c r="F199" s="151"/>
      <c r="G199" s="1"/>
    </row>
    <row r="200" spans="1:7" ht="12.75">
      <c r="A200" s="99" t="s">
        <v>26</v>
      </c>
      <c r="B200" s="2" t="s">
        <v>49</v>
      </c>
      <c r="C200" s="151"/>
      <c r="D200" s="151"/>
      <c r="E200" s="2"/>
      <c r="F200" s="151"/>
      <c r="G200" s="1"/>
    </row>
    <row r="201" spans="1:7" ht="12.75">
      <c r="A201" s="124"/>
      <c r="B201" s="1"/>
      <c r="C201" s="150"/>
      <c r="D201" s="150"/>
      <c r="E201" s="1"/>
      <c r="F201" s="150"/>
      <c r="G201" s="1"/>
    </row>
  </sheetData>
  <sheetProtection/>
  <mergeCells count="6">
    <mergeCell ref="C5:L5"/>
    <mergeCell ref="C35:L35"/>
    <mergeCell ref="C46:L46"/>
    <mergeCell ref="C85:L85"/>
    <mergeCell ref="C119:L119"/>
    <mergeCell ref="C172:L172"/>
  </mergeCells>
  <printOptions/>
  <pageMargins left="0.25" right="0.25" top="0.75" bottom="0.75" header="0.3" footer="0.3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I7" sqref="I7:I18"/>
    </sheetView>
  </sheetViews>
  <sheetFormatPr defaultColWidth="9.140625" defaultRowHeight="12.75"/>
  <cols>
    <col min="1" max="1" width="7.57421875" style="0" customWidth="1"/>
    <col min="2" max="2" width="1.7109375" style="0" customWidth="1"/>
    <col min="3" max="3" width="1.421875" style="0" customWidth="1"/>
    <col min="4" max="4" width="18.57421875" style="0" customWidth="1"/>
    <col min="5" max="9" width="12.8515625" style="0" bestFit="1" customWidth="1"/>
    <col min="11" max="11" width="13.7109375" style="0" customWidth="1"/>
    <col min="12" max="12" width="14.00390625" style="0" customWidth="1"/>
  </cols>
  <sheetData>
    <row r="1" spans="1:6" ht="12.75">
      <c r="A1" s="13" t="s">
        <v>63</v>
      </c>
      <c r="B1" s="13"/>
      <c r="C1" s="12"/>
      <c r="D1" s="13" t="s">
        <v>248</v>
      </c>
      <c r="F1" s="12"/>
    </row>
    <row r="2" spans="1:6" ht="12.75">
      <c r="A2" s="12" t="s">
        <v>35</v>
      </c>
      <c r="B2" s="12"/>
      <c r="C2" s="12"/>
      <c r="D2" s="12" t="s">
        <v>249</v>
      </c>
      <c r="F2" s="12"/>
    </row>
    <row r="5" spans="1:9" ht="12.75">
      <c r="A5" s="183" t="s">
        <v>12</v>
      </c>
      <c r="B5" s="16"/>
      <c r="C5" s="28"/>
      <c r="D5" s="185" t="s">
        <v>13</v>
      </c>
      <c r="E5" s="183">
        <v>2015</v>
      </c>
      <c r="F5" s="183">
        <v>2016</v>
      </c>
      <c r="G5" s="183">
        <v>2017</v>
      </c>
      <c r="H5" s="183">
        <v>2018</v>
      </c>
      <c r="I5" s="183">
        <v>2019</v>
      </c>
    </row>
    <row r="6" spans="1:12" ht="12.75">
      <c r="A6" s="184"/>
      <c r="B6" s="17"/>
      <c r="C6" s="24"/>
      <c r="D6" s="186"/>
      <c r="E6" s="184"/>
      <c r="F6" s="184"/>
      <c r="G6" s="184"/>
      <c r="H6" s="184"/>
      <c r="I6" s="184"/>
      <c r="K6" s="22"/>
      <c r="L6" s="22"/>
    </row>
    <row r="7" spans="1:12" ht="12.75" customHeight="1">
      <c r="A7" s="45">
        <v>1</v>
      </c>
      <c r="B7" s="46"/>
      <c r="C7" s="47"/>
      <c r="D7" s="48" t="s">
        <v>36</v>
      </c>
      <c r="E7" s="57">
        <v>621251</v>
      </c>
      <c r="F7" s="57">
        <v>737880</v>
      </c>
      <c r="G7" s="57">
        <v>835091</v>
      </c>
      <c r="H7" s="57">
        <f>371122+394330</f>
        <v>765452</v>
      </c>
      <c r="I7" s="57">
        <f>337103+506304</f>
        <v>843407</v>
      </c>
      <c r="K7" s="74"/>
      <c r="L7" s="22"/>
    </row>
    <row r="8" spans="1:12" ht="12.75">
      <c r="A8" s="45">
        <v>2</v>
      </c>
      <c r="B8" s="46"/>
      <c r="C8" s="47"/>
      <c r="D8" s="48" t="s">
        <v>37</v>
      </c>
      <c r="E8" s="57">
        <v>622836</v>
      </c>
      <c r="F8" s="57">
        <v>713314</v>
      </c>
      <c r="G8" s="57">
        <v>712846</v>
      </c>
      <c r="H8" s="57">
        <f>444214+405378</f>
        <v>849592</v>
      </c>
      <c r="I8" s="57">
        <f>325180+484603</f>
        <v>809783</v>
      </c>
      <c r="K8" s="74"/>
      <c r="L8" s="22"/>
    </row>
    <row r="9" spans="1:12" ht="12.75">
      <c r="A9" s="45">
        <v>3</v>
      </c>
      <c r="B9" s="46"/>
      <c r="C9" s="47"/>
      <c r="D9" s="48" t="s">
        <v>16</v>
      </c>
      <c r="E9" s="57">
        <v>620855</v>
      </c>
      <c r="F9" s="57">
        <v>754614</v>
      </c>
      <c r="G9" s="57">
        <v>779552</v>
      </c>
      <c r="H9" s="57">
        <f>480284+437430</f>
        <v>917714</v>
      </c>
      <c r="I9" s="57">
        <f>329982+504333</f>
        <v>834315</v>
      </c>
      <c r="K9" s="75"/>
      <c r="L9" s="22"/>
    </row>
    <row r="10" spans="1:9" ht="12.75">
      <c r="A10" s="45">
        <v>4</v>
      </c>
      <c r="B10" s="46"/>
      <c r="C10" s="47"/>
      <c r="D10" s="48" t="s">
        <v>15</v>
      </c>
      <c r="E10" s="57">
        <v>667011</v>
      </c>
      <c r="F10" s="57">
        <v>767543</v>
      </c>
      <c r="G10" s="57">
        <v>874959</v>
      </c>
      <c r="H10" s="57">
        <f>506752+454709</f>
        <v>961461</v>
      </c>
      <c r="I10" s="57">
        <f>332463+577663</f>
        <v>910126</v>
      </c>
    </row>
    <row r="11" spans="1:9" ht="12.75">
      <c r="A11" s="45">
        <v>5</v>
      </c>
      <c r="B11" s="46"/>
      <c r="C11" s="47"/>
      <c r="D11" s="48" t="s">
        <v>5</v>
      </c>
      <c r="E11" s="57">
        <v>728605</v>
      </c>
      <c r="F11" s="57">
        <v>856916</v>
      </c>
      <c r="G11" s="57">
        <v>870081</v>
      </c>
      <c r="H11" s="57">
        <f>513042+420162</f>
        <v>933204</v>
      </c>
      <c r="I11" s="57">
        <f>263978+547067</f>
        <v>811045</v>
      </c>
    </row>
    <row r="12" spans="1:9" ht="12.75">
      <c r="A12" s="45">
        <v>6</v>
      </c>
      <c r="B12" s="46"/>
      <c r="C12" s="47"/>
      <c r="D12" s="48" t="s">
        <v>17</v>
      </c>
      <c r="E12" s="57">
        <v>735245</v>
      </c>
      <c r="F12" s="57">
        <v>800962</v>
      </c>
      <c r="G12" s="57">
        <v>889021</v>
      </c>
      <c r="H12" s="57">
        <f>548854+481479</f>
        <v>1030333</v>
      </c>
      <c r="I12" s="57">
        <f>409237+603388</f>
        <v>1012625</v>
      </c>
    </row>
    <row r="13" spans="1:9" ht="12.75">
      <c r="A13" s="45">
        <v>7</v>
      </c>
      <c r="B13" s="46"/>
      <c r="C13" s="47"/>
      <c r="D13" s="48" t="s">
        <v>10</v>
      </c>
      <c r="E13" s="57">
        <v>788235</v>
      </c>
      <c r="F13" s="57">
        <v>982346</v>
      </c>
      <c r="G13" s="57">
        <v>1058310</v>
      </c>
      <c r="H13" s="57">
        <f>605755+538578</f>
        <v>1144333</v>
      </c>
      <c r="I13" s="57">
        <f>405937+643306</f>
        <v>1049243</v>
      </c>
    </row>
    <row r="14" spans="1:9" ht="12.75">
      <c r="A14" s="45">
        <v>8</v>
      </c>
      <c r="B14" s="46"/>
      <c r="C14" s="47"/>
      <c r="D14" s="48" t="s">
        <v>18</v>
      </c>
      <c r="E14" s="57">
        <v>784670</v>
      </c>
      <c r="F14" s="57">
        <v>897902</v>
      </c>
      <c r="G14" s="57">
        <v>1018153</v>
      </c>
      <c r="H14" s="57">
        <f>548916+489990</f>
        <v>1038906</v>
      </c>
      <c r="I14" s="57">
        <f>432538+648459</f>
        <v>1080997</v>
      </c>
    </row>
    <row r="15" spans="1:9" ht="12.75">
      <c r="A15" s="45">
        <v>9</v>
      </c>
      <c r="B15" s="46"/>
      <c r="C15" s="47"/>
      <c r="D15" s="48" t="s">
        <v>19</v>
      </c>
      <c r="E15" s="57">
        <v>738869</v>
      </c>
      <c r="F15" s="57">
        <v>852559</v>
      </c>
      <c r="G15" s="57">
        <v>937819</v>
      </c>
      <c r="H15" s="57">
        <f>567512+468536</f>
        <v>1036048</v>
      </c>
      <c r="I15" s="57">
        <f>373947+618727</f>
        <v>992674</v>
      </c>
    </row>
    <row r="16" spans="1:9" ht="12.75">
      <c r="A16" s="45">
        <v>10</v>
      </c>
      <c r="B16" s="46"/>
      <c r="C16" s="47"/>
      <c r="D16" s="48" t="s">
        <v>20</v>
      </c>
      <c r="E16" s="57">
        <v>782229</v>
      </c>
      <c r="F16" s="57">
        <v>842387</v>
      </c>
      <c r="G16" s="57">
        <v>821065</v>
      </c>
      <c r="H16" s="57">
        <f>542098+476692</f>
        <v>1018790</v>
      </c>
      <c r="I16" s="57">
        <f>394168+598771</f>
        <v>992939</v>
      </c>
    </row>
    <row r="17" spans="1:9" ht="12.75">
      <c r="A17" s="45">
        <v>11</v>
      </c>
      <c r="B17" s="46"/>
      <c r="C17" s="47"/>
      <c r="D17" s="48" t="s">
        <v>21</v>
      </c>
      <c r="E17" s="57">
        <v>595100</v>
      </c>
      <c r="F17" s="57">
        <v>783866</v>
      </c>
      <c r="G17" s="57">
        <v>698623</v>
      </c>
      <c r="H17" s="57">
        <f>450592+445064</f>
        <v>895656</v>
      </c>
      <c r="I17" s="57">
        <f>387924+531908</f>
        <v>919832</v>
      </c>
    </row>
    <row r="18" spans="1:9" ht="12.75">
      <c r="A18" s="45">
        <v>12</v>
      </c>
      <c r="B18" s="46"/>
      <c r="C18" s="47"/>
      <c r="D18" s="48" t="s">
        <v>22</v>
      </c>
      <c r="E18" s="57">
        <v>823967</v>
      </c>
      <c r="F18" s="57">
        <v>916291</v>
      </c>
      <c r="G18" s="57">
        <v>750280</v>
      </c>
      <c r="H18" s="57">
        <f>532873+518777</f>
        <v>1051650</v>
      </c>
      <c r="I18" s="57">
        <f>454798+600405</f>
        <v>1055203</v>
      </c>
    </row>
    <row r="19" spans="1:9" ht="7.5" customHeight="1">
      <c r="A19" s="7"/>
      <c r="B19" s="7"/>
      <c r="C19" s="21"/>
      <c r="D19" s="15"/>
      <c r="E19" s="32"/>
      <c r="F19" s="32"/>
      <c r="G19" s="32"/>
      <c r="H19" s="32"/>
      <c r="I19" s="32"/>
    </row>
    <row r="20" spans="1:9" ht="23.25" customHeight="1">
      <c r="A20" s="8"/>
      <c r="B20" s="8"/>
      <c r="C20" s="9"/>
      <c r="D20" s="70" t="s">
        <v>2</v>
      </c>
      <c r="E20" s="71">
        <f>SUM(E7:E19)</f>
        <v>8508873</v>
      </c>
      <c r="F20" s="71">
        <f>SUM(F7:F19)</f>
        <v>9906580</v>
      </c>
      <c r="G20" s="71">
        <f>SUM(G7:G18)</f>
        <v>10245800</v>
      </c>
      <c r="H20" s="71">
        <f>SUM(H7:H18)</f>
        <v>11643139</v>
      </c>
      <c r="I20" s="71">
        <f>SUM(I7:I18)</f>
        <v>11312189</v>
      </c>
    </row>
    <row r="21" spans="1:9" ht="18.75" customHeight="1">
      <c r="A21" s="7"/>
      <c r="B21" s="7"/>
      <c r="C21" s="21"/>
      <c r="D21" s="72" t="s">
        <v>14</v>
      </c>
      <c r="E21" s="73">
        <v>0.1124</v>
      </c>
      <c r="F21" s="73">
        <f>(F20-E20)/E20</f>
        <v>0.16426464468326182</v>
      </c>
      <c r="G21" s="73">
        <f>(G20-F20)/F20</f>
        <v>0.03424188771503384</v>
      </c>
      <c r="H21" s="73">
        <f>(H20-G20)/G20</f>
        <v>0.13638163930586192</v>
      </c>
      <c r="I21" s="73">
        <f>(I20-H20)/H20</f>
        <v>-0.028424465258037372</v>
      </c>
    </row>
    <row r="23" spans="1:5" ht="12.75">
      <c r="A23" s="11" t="s">
        <v>25</v>
      </c>
      <c r="C23" s="42" t="s">
        <v>28</v>
      </c>
      <c r="D23" s="11" t="s">
        <v>27</v>
      </c>
      <c r="E23" s="5"/>
    </row>
    <row r="24" spans="1:5" ht="12.75">
      <c r="A24" t="s">
        <v>26</v>
      </c>
      <c r="C24" s="42" t="s">
        <v>28</v>
      </c>
      <c r="D24" t="s">
        <v>29</v>
      </c>
      <c r="E24" s="5"/>
    </row>
  </sheetData>
  <sheetProtection/>
  <mergeCells count="7">
    <mergeCell ref="I5:I6"/>
    <mergeCell ref="A5:A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7">
      <selection activeCell="K61" sqref="K61"/>
    </sheetView>
  </sheetViews>
  <sheetFormatPr defaultColWidth="9.140625" defaultRowHeight="12.75"/>
  <cols>
    <col min="1" max="1" width="6.7109375" style="0" customWidth="1"/>
    <col min="2" max="2" width="1.28515625" style="0" customWidth="1"/>
    <col min="3" max="3" width="1.57421875" style="0" customWidth="1"/>
    <col min="4" max="4" width="17.421875" style="0" customWidth="1"/>
    <col min="5" max="5" width="12.57421875" style="0" customWidth="1"/>
    <col min="6" max="6" width="11.7109375" style="0" customWidth="1"/>
    <col min="7" max="7" width="12.7109375" style="0" bestFit="1" customWidth="1"/>
    <col min="8" max="8" width="10.28125" style="0" customWidth="1"/>
    <col min="9" max="9" width="12.8515625" style="0" customWidth="1"/>
    <col min="10" max="10" width="12.140625" style="0" customWidth="1"/>
    <col min="11" max="11" width="11.8515625" style="0" customWidth="1"/>
    <col min="12" max="12" width="10.140625" style="0" customWidth="1"/>
    <col min="14" max="14" width="9.57421875" style="0" bestFit="1" customWidth="1"/>
  </cols>
  <sheetData>
    <row r="1" spans="1:12" ht="12.75">
      <c r="A1" s="13" t="s">
        <v>38</v>
      </c>
      <c r="B1" s="12"/>
      <c r="C1" s="12"/>
      <c r="D1" s="33" t="s">
        <v>252</v>
      </c>
      <c r="E1" s="21"/>
      <c r="F1" s="21"/>
      <c r="G1" s="21"/>
      <c r="H1" s="21"/>
      <c r="I1" s="21"/>
      <c r="J1" s="21"/>
      <c r="K1" s="21"/>
      <c r="L1" s="22"/>
    </row>
    <row r="2" spans="1:4" ht="12.75">
      <c r="A2" s="12" t="s">
        <v>23</v>
      </c>
      <c r="B2" s="12"/>
      <c r="C2" s="12"/>
      <c r="D2" s="12" t="s">
        <v>253</v>
      </c>
    </row>
    <row r="3" spans="1:4" ht="12.75">
      <c r="A3" s="12"/>
      <c r="B3" s="12"/>
      <c r="C3" s="12"/>
      <c r="D3" s="12"/>
    </row>
    <row r="4" spans="1:12" ht="12.75" customHeight="1">
      <c r="A4" s="183" t="s">
        <v>12</v>
      </c>
      <c r="B4" s="16"/>
      <c r="C4" s="28"/>
      <c r="D4" s="185" t="s">
        <v>13</v>
      </c>
      <c r="E4" s="191">
        <v>2015</v>
      </c>
      <c r="F4" s="192"/>
      <c r="G4" s="193"/>
      <c r="H4" s="189" t="s">
        <v>56</v>
      </c>
      <c r="I4" s="191">
        <v>2016</v>
      </c>
      <c r="J4" s="192"/>
      <c r="K4" s="193"/>
      <c r="L4" s="189" t="s">
        <v>56</v>
      </c>
    </row>
    <row r="5" spans="1:12" ht="26.25">
      <c r="A5" s="184"/>
      <c r="B5" s="17"/>
      <c r="C5" s="24"/>
      <c r="D5" s="186"/>
      <c r="E5" s="25" t="s">
        <v>24</v>
      </c>
      <c r="F5" s="26" t="s">
        <v>41</v>
      </c>
      <c r="G5" s="26" t="s">
        <v>2</v>
      </c>
      <c r="H5" s="190"/>
      <c r="I5" s="25" t="s">
        <v>24</v>
      </c>
      <c r="J5" s="26" t="s">
        <v>41</v>
      </c>
      <c r="K5" s="26" t="s">
        <v>2</v>
      </c>
      <c r="L5" s="190"/>
    </row>
    <row r="6" spans="1:12" ht="7.5" customHeight="1">
      <c r="A6" s="19"/>
      <c r="B6" s="6"/>
      <c r="C6" s="22"/>
      <c r="D6" s="14"/>
      <c r="E6" s="20"/>
      <c r="F6" s="20"/>
      <c r="G6" s="20"/>
      <c r="H6" s="20"/>
      <c r="I6" s="20"/>
      <c r="J6" s="20"/>
      <c r="K6" s="20"/>
      <c r="L6" s="31"/>
    </row>
    <row r="7" spans="1:14" ht="23.25" customHeight="1">
      <c r="A7" s="45">
        <v>1</v>
      </c>
      <c r="B7" s="46"/>
      <c r="C7" s="47"/>
      <c r="D7" s="48" t="s">
        <v>36</v>
      </c>
      <c r="E7" s="78">
        <v>309615</v>
      </c>
      <c r="F7" s="59">
        <v>311636</v>
      </c>
      <c r="G7" s="59">
        <f>E7+F7</f>
        <v>621251</v>
      </c>
      <c r="H7" s="162">
        <v>23.66</v>
      </c>
      <c r="I7" s="78">
        <v>377929</v>
      </c>
      <c r="J7" s="59">
        <v>359951</v>
      </c>
      <c r="K7" s="59">
        <f>I7+J7</f>
        <v>737880</v>
      </c>
      <c r="L7" s="49">
        <f>(K7-G7)/G7*100</f>
        <v>18.773249459558215</v>
      </c>
      <c r="M7" s="4"/>
      <c r="N7" s="41"/>
    </row>
    <row r="8" spans="1:14" ht="23.25" customHeight="1">
      <c r="A8" s="45">
        <v>2</v>
      </c>
      <c r="B8" s="46"/>
      <c r="C8" s="47"/>
      <c r="D8" s="48" t="s">
        <v>37</v>
      </c>
      <c r="E8" s="79">
        <v>322216</v>
      </c>
      <c r="F8" s="58">
        <v>300620</v>
      </c>
      <c r="G8" s="59">
        <f aca="true" t="shared" si="0" ref="G8:G18">E8+F8</f>
        <v>622836</v>
      </c>
      <c r="H8" s="162">
        <v>13.2</v>
      </c>
      <c r="I8" s="79">
        <v>364904</v>
      </c>
      <c r="J8" s="58">
        <v>348410</v>
      </c>
      <c r="K8" s="59">
        <f aca="true" t="shared" si="1" ref="K8:K18">I8+J8</f>
        <v>713314</v>
      </c>
      <c r="L8" s="49">
        <f aca="true" t="shared" si="2" ref="L8:L18">(K8-G8)/G8*100</f>
        <v>14.526777514466088</v>
      </c>
      <c r="M8" s="4"/>
      <c r="N8" s="41"/>
    </row>
    <row r="9" spans="1:14" ht="23.25" customHeight="1">
      <c r="A9" s="45">
        <v>3</v>
      </c>
      <c r="B9" s="46"/>
      <c r="C9" s="47"/>
      <c r="D9" s="48" t="s">
        <v>16</v>
      </c>
      <c r="E9" s="78">
        <v>311644</v>
      </c>
      <c r="F9" s="59">
        <v>309211</v>
      </c>
      <c r="G9" s="59">
        <f t="shared" si="0"/>
        <v>620855</v>
      </c>
      <c r="H9" s="162">
        <v>1.99</v>
      </c>
      <c r="I9" s="78">
        <v>364419</v>
      </c>
      <c r="J9" s="59">
        <v>390195</v>
      </c>
      <c r="K9" s="59">
        <f t="shared" si="1"/>
        <v>754614</v>
      </c>
      <c r="L9" s="49">
        <f t="shared" si="2"/>
        <v>21.544321943126818</v>
      </c>
      <c r="M9" s="4"/>
      <c r="N9" s="41"/>
    </row>
    <row r="10" spans="1:14" ht="23.25" customHeight="1">
      <c r="A10" s="45">
        <v>4</v>
      </c>
      <c r="B10" s="46"/>
      <c r="C10" s="47"/>
      <c r="D10" s="48" t="s">
        <v>15</v>
      </c>
      <c r="E10" s="78">
        <v>327145</v>
      </c>
      <c r="F10" s="59">
        <v>339866</v>
      </c>
      <c r="G10" s="59">
        <f t="shared" si="0"/>
        <v>667011</v>
      </c>
      <c r="H10" s="162">
        <v>15.05</v>
      </c>
      <c r="I10" s="78">
        <v>381225</v>
      </c>
      <c r="J10" s="59">
        <v>386318</v>
      </c>
      <c r="K10" s="59">
        <f t="shared" si="1"/>
        <v>767543</v>
      </c>
      <c r="L10" s="49">
        <f t="shared" si="2"/>
        <v>15.072015304095435</v>
      </c>
      <c r="M10" s="4"/>
      <c r="N10" s="41"/>
    </row>
    <row r="11" spans="1:14" ht="23.25" customHeight="1">
      <c r="A11" s="45">
        <v>5</v>
      </c>
      <c r="B11" s="46"/>
      <c r="C11" s="47"/>
      <c r="D11" s="48" t="s">
        <v>5</v>
      </c>
      <c r="E11" s="78">
        <v>347633</v>
      </c>
      <c r="F11" s="59">
        <v>380972</v>
      </c>
      <c r="G11" s="59">
        <f t="shared" si="0"/>
        <v>728605</v>
      </c>
      <c r="H11" s="49">
        <v>12.77</v>
      </c>
      <c r="I11" s="78">
        <v>405690</v>
      </c>
      <c r="J11" s="59">
        <v>451226</v>
      </c>
      <c r="K11" s="59">
        <f t="shared" si="1"/>
        <v>856916</v>
      </c>
      <c r="L11" s="49">
        <f t="shared" si="2"/>
        <v>17.610502261170318</v>
      </c>
      <c r="M11" s="4"/>
      <c r="N11" s="41"/>
    </row>
    <row r="12" spans="1:14" ht="24" customHeight="1">
      <c r="A12" s="45">
        <v>6</v>
      </c>
      <c r="B12" s="46"/>
      <c r="C12" s="47"/>
      <c r="D12" s="48" t="s">
        <v>17</v>
      </c>
      <c r="E12" s="78">
        <v>376437</v>
      </c>
      <c r="F12" s="59">
        <v>358808</v>
      </c>
      <c r="G12" s="59">
        <f t="shared" si="0"/>
        <v>735245</v>
      </c>
      <c r="H12" s="49">
        <v>4.62</v>
      </c>
      <c r="I12" s="78">
        <v>417955</v>
      </c>
      <c r="J12" s="59">
        <v>383007</v>
      </c>
      <c r="K12" s="59">
        <f t="shared" si="1"/>
        <v>800962</v>
      </c>
      <c r="L12" s="49">
        <f t="shared" si="2"/>
        <v>8.938109065685587</v>
      </c>
      <c r="M12" s="4"/>
      <c r="N12" s="41"/>
    </row>
    <row r="13" spans="1:14" ht="23.25" customHeight="1">
      <c r="A13" s="45">
        <v>7</v>
      </c>
      <c r="B13" s="46"/>
      <c r="C13" s="47"/>
      <c r="D13" s="48" t="s">
        <v>10</v>
      </c>
      <c r="E13" s="78">
        <v>408936</v>
      </c>
      <c r="F13" s="59">
        <v>379299</v>
      </c>
      <c r="G13" s="59">
        <f t="shared" si="0"/>
        <v>788235</v>
      </c>
      <c r="H13" s="49">
        <v>12.94</v>
      </c>
      <c r="I13" s="78">
        <v>481383</v>
      </c>
      <c r="J13" s="59">
        <v>500963</v>
      </c>
      <c r="K13" s="59">
        <f t="shared" si="1"/>
        <v>982346</v>
      </c>
      <c r="L13" s="49">
        <f t="shared" si="2"/>
        <v>24.626031576877455</v>
      </c>
      <c r="M13" s="4"/>
      <c r="N13" s="41"/>
    </row>
    <row r="14" spans="1:14" ht="23.25" customHeight="1">
      <c r="A14" s="45">
        <v>8</v>
      </c>
      <c r="B14" s="46"/>
      <c r="C14" s="47"/>
      <c r="D14" s="48" t="s">
        <v>18</v>
      </c>
      <c r="E14" s="78">
        <v>399757</v>
      </c>
      <c r="F14" s="59">
        <v>384913</v>
      </c>
      <c r="G14" s="59">
        <f t="shared" si="0"/>
        <v>784670</v>
      </c>
      <c r="H14" s="49">
        <v>11.13</v>
      </c>
      <c r="I14" s="78">
        <v>447860</v>
      </c>
      <c r="J14" s="59">
        <v>450042</v>
      </c>
      <c r="K14" s="59">
        <f t="shared" si="1"/>
        <v>897902</v>
      </c>
      <c r="L14" s="49">
        <f t="shared" si="2"/>
        <v>14.430524934048709</v>
      </c>
      <c r="M14" s="4"/>
      <c r="N14" s="41"/>
    </row>
    <row r="15" spans="1:14" ht="24.75" customHeight="1">
      <c r="A15" s="45">
        <v>9</v>
      </c>
      <c r="B15" s="46"/>
      <c r="C15" s="47"/>
      <c r="D15" s="48" t="s">
        <v>19</v>
      </c>
      <c r="E15" s="78">
        <v>392030</v>
      </c>
      <c r="F15" s="59">
        <v>346839</v>
      </c>
      <c r="G15" s="59">
        <f t="shared" si="0"/>
        <v>738869</v>
      </c>
      <c r="H15" s="49">
        <v>6.57</v>
      </c>
      <c r="I15" s="78">
        <v>439758</v>
      </c>
      <c r="J15" s="59">
        <v>412801</v>
      </c>
      <c r="K15" s="59">
        <f t="shared" si="1"/>
        <v>852559</v>
      </c>
      <c r="L15" s="49">
        <f t="shared" si="2"/>
        <v>15.387030718571221</v>
      </c>
      <c r="M15" s="4"/>
      <c r="N15" s="41"/>
    </row>
    <row r="16" spans="1:14" ht="23.25" customHeight="1">
      <c r="A16" s="45">
        <v>10</v>
      </c>
      <c r="B16" s="46"/>
      <c r="C16" s="47"/>
      <c r="D16" s="48" t="s">
        <v>20</v>
      </c>
      <c r="E16" s="78">
        <v>380956</v>
      </c>
      <c r="F16" s="59">
        <v>401273</v>
      </c>
      <c r="G16" s="59">
        <f t="shared" si="0"/>
        <v>782229</v>
      </c>
      <c r="H16" s="49">
        <v>15.87</v>
      </c>
      <c r="I16" s="78">
        <v>426343</v>
      </c>
      <c r="J16" s="59">
        <v>416044</v>
      </c>
      <c r="K16" s="59">
        <f t="shared" si="1"/>
        <v>842387</v>
      </c>
      <c r="L16" s="49">
        <f t="shared" si="2"/>
        <v>7.690586771904391</v>
      </c>
      <c r="M16" s="4"/>
      <c r="N16" s="41"/>
    </row>
    <row r="17" spans="1:14" ht="23.25" customHeight="1">
      <c r="A17" s="45">
        <v>11</v>
      </c>
      <c r="B17" s="46"/>
      <c r="C17" s="47"/>
      <c r="D17" s="48" t="s">
        <v>21</v>
      </c>
      <c r="E17" s="78">
        <v>268822</v>
      </c>
      <c r="F17" s="59">
        <v>326278</v>
      </c>
      <c r="G17" s="59">
        <f t="shared" si="0"/>
        <v>595100</v>
      </c>
      <c r="H17" s="162">
        <v>5.71</v>
      </c>
      <c r="I17" s="78">
        <v>380260</v>
      </c>
      <c r="J17" s="59">
        <v>403606</v>
      </c>
      <c r="K17" s="59">
        <f t="shared" si="1"/>
        <v>783866</v>
      </c>
      <c r="L17" s="49">
        <f t="shared" si="2"/>
        <v>31.720047050915813</v>
      </c>
      <c r="M17" s="4"/>
      <c r="N17" s="41"/>
    </row>
    <row r="18" spans="1:14" ht="23.25" customHeight="1">
      <c r="A18" s="45">
        <v>12</v>
      </c>
      <c r="B18" s="46"/>
      <c r="C18" s="47"/>
      <c r="D18" s="48" t="s">
        <v>22</v>
      </c>
      <c r="E18" s="78">
        <v>388049</v>
      </c>
      <c r="F18" s="59">
        <v>435918</v>
      </c>
      <c r="G18" s="59">
        <f t="shared" si="0"/>
        <v>823967</v>
      </c>
      <c r="H18" s="49">
        <v>3.51</v>
      </c>
      <c r="I18" s="78">
        <v>441181</v>
      </c>
      <c r="J18" s="59">
        <v>475110</v>
      </c>
      <c r="K18" s="59">
        <f t="shared" si="1"/>
        <v>916291</v>
      </c>
      <c r="L18" s="49">
        <f t="shared" si="2"/>
        <v>11.204817668668769</v>
      </c>
      <c r="M18" s="4"/>
      <c r="N18" s="41"/>
    </row>
    <row r="19" spans="1:12" ht="9" customHeight="1">
      <c r="A19" s="50"/>
      <c r="B19" s="50"/>
      <c r="C19" s="51"/>
      <c r="D19" s="52"/>
      <c r="E19" s="35"/>
      <c r="F19" s="35"/>
      <c r="G19" s="35"/>
      <c r="H19" s="53"/>
      <c r="I19" s="64"/>
      <c r="J19" s="64"/>
      <c r="K19" s="64"/>
      <c r="L19" s="54"/>
    </row>
    <row r="20" spans="1:14" ht="24.75" customHeight="1">
      <c r="A20" s="194" t="s">
        <v>2</v>
      </c>
      <c r="B20" s="195"/>
      <c r="C20" s="195"/>
      <c r="D20" s="196"/>
      <c r="E20" s="61">
        <f>SUM(E7:E18)</f>
        <v>4233240</v>
      </c>
      <c r="F20" s="61">
        <f>SUM(F7:F18)</f>
        <v>4275633</v>
      </c>
      <c r="G20" s="61">
        <f>SUM(G7:G18)</f>
        <v>8508873</v>
      </c>
      <c r="H20" s="55">
        <v>10.22</v>
      </c>
      <c r="I20" s="61">
        <f>SUM(I7:I18)</f>
        <v>4928907</v>
      </c>
      <c r="J20" s="61">
        <f>SUM(J7:J18)</f>
        <v>4977673</v>
      </c>
      <c r="K20" s="61">
        <f>SUM(K7:K18)</f>
        <v>9906580</v>
      </c>
      <c r="L20" s="55">
        <f>(K20-G20)/G20*100</f>
        <v>16.42646446832618</v>
      </c>
      <c r="M20" s="4"/>
      <c r="N20" s="41"/>
    </row>
    <row r="21" spans="5:7" ht="12.75">
      <c r="E21" s="4"/>
      <c r="F21" s="4"/>
      <c r="G21" s="4"/>
    </row>
    <row r="22" spans="1:7" ht="12.75">
      <c r="A22" s="13" t="s">
        <v>38</v>
      </c>
      <c r="B22" s="13"/>
      <c r="C22" s="13"/>
      <c r="D22" s="13" t="s">
        <v>39</v>
      </c>
      <c r="E22" s="4"/>
      <c r="F22" s="4"/>
      <c r="G22" s="4"/>
    </row>
    <row r="23" spans="1:4" ht="12.75">
      <c r="A23" s="12" t="s">
        <v>23</v>
      </c>
      <c r="D23" s="12" t="s">
        <v>40</v>
      </c>
    </row>
    <row r="25" spans="1:12" ht="12.75" customHeight="1">
      <c r="A25" s="183" t="s">
        <v>12</v>
      </c>
      <c r="B25" s="16"/>
      <c r="C25" s="28"/>
      <c r="D25" s="185" t="s">
        <v>13</v>
      </c>
      <c r="E25" s="191">
        <v>2017</v>
      </c>
      <c r="F25" s="192"/>
      <c r="G25" s="193"/>
      <c r="H25" s="189" t="s">
        <v>56</v>
      </c>
      <c r="I25" s="191">
        <v>2018</v>
      </c>
      <c r="J25" s="192"/>
      <c r="K25" s="193"/>
      <c r="L25" s="189" t="s">
        <v>56</v>
      </c>
    </row>
    <row r="26" spans="1:12" ht="26.25">
      <c r="A26" s="184"/>
      <c r="B26" s="17"/>
      <c r="C26" s="24"/>
      <c r="D26" s="186"/>
      <c r="E26" s="25" t="s">
        <v>24</v>
      </c>
      <c r="F26" s="26" t="s">
        <v>41</v>
      </c>
      <c r="G26" s="26" t="s">
        <v>2</v>
      </c>
      <c r="H26" s="190"/>
      <c r="I26" s="25" t="s">
        <v>24</v>
      </c>
      <c r="J26" s="26" t="s">
        <v>41</v>
      </c>
      <c r="K26" s="26" t="s">
        <v>2</v>
      </c>
      <c r="L26" s="190"/>
    </row>
    <row r="27" spans="1:12" ht="6" customHeight="1">
      <c r="A27" s="19"/>
      <c r="B27" s="6"/>
      <c r="C27" s="22"/>
      <c r="D27" s="14"/>
      <c r="E27" s="20"/>
      <c r="F27" s="20"/>
      <c r="G27" s="20"/>
      <c r="H27" s="20"/>
      <c r="I27" s="20"/>
      <c r="J27" s="20"/>
      <c r="K27" s="20"/>
      <c r="L27" s="20"/>
    </row>
    <row r="28" spans="1:14" ht="20.25" customHeight="1">
      <c r="A28" s="45">
        <v>1</v>
      </c>
      <c r="B28" s="46"/>
      <c r="C28" s="47"/>
      <c r="D28" s="48" t="s">
        <v>36</v>
      </c>
      <c r="E28" s="78">
        <v>447287</v>
      </c>
      <c r="F28" s="59">
        <v>387804</v>
      </c>
      <c r="G28" s="59">
        <f>E28+F28</f>
        <v>835091</v>
      </c>
      <c r="H28" s="49">
        <f>(G28-K7)/K7*100</f>
        <v>13.174364395294628</v>
      </c>
      <c r="I28" s="78">
        <v>371122</v>
      </c>
      <c r="J28" s="59">
        <v>394330</v>
      </c>
      <c r="K28" s="59">
        <f>I28+J28</f>
        <v>765452</v>
      </c>
      <c r="L28" s="49">
        <f>(K28-G28)/G28*100</f>
        <v>-8.339091188864447</v>
      </c>
      <c r="N28" s="60"/>
    </row>
    <row r="29" spans="1:15" ht="20.25" customHeight="1">
      <c r="A29" s="45">
        <v>2</v>
      </c>
      <c r="B29" s="46"/>
      <c r="C29" s="47"/>
      <c r="D29" s="48" t="s">
        <v>37</v>
      </c>
      <c r="E29" s="79">
        <v>380101</v>
      </c>
      <c r="F29" s="58">
        <v>332745</v>
      </c>
      <c r="G29" s="59">
        <f>E29+F29</f>
        <v>712846</v>
      </c>
      <c r="H29" s="49">
        <f>(G29-K8)/K8*100</f>
        <v>-0.06560925483027111</v>
      </c>
      <c r="I29" s="79">
        <v>444214</v>
      </c>
      <c r="J29" s="58">
        <v>405378</v>
      </c>
      <c r="K29" s="59">
        <f>I29+J29</f>
        <v>849592</v>
      </c>
      <c r="L29" s="49">
        <f aca="true" t="shared" si="3" ref="L29:L39">(K29-G29)/G29*100</f>
        <v>19.183105467380052</v>
      </c>
      <c r="N29" s="38"/>
      <c r="O29" s="22"/>
    </row>
    <row r="30" spans="1:15" ht="20.25" customHeight="1">
      <c r="A30" s="45">
        <v>3</v>
      </c>
      <c r="B30" s="46"/>
      <c r="C30" s="47"/>
      <c r="D30" s="48" t="s">
        <v>16</v>
      </c>
      <c r="E30" s="78">
        <v>403590</v>
      </c>
      <c r="F30" s="59">
        <v>375962</v>
      </c>
      <c r="G30" s="59">
        <f aca="true" t="shared" si="4" ref="G30:G39">E30+F30</f>
        <v>779552</v>
      </c>
      <c r="H30" s="49">
        <f aca="true" t="shared" si="5" ref="H30:H39">(G30-K9)/K9*100</f>
        <v>3.304735931217815</v>
      </c>
      <c r="I30" s="78">
        <v>480284</v>
      </c>
      <c r="J30" s="59">
        <v>437430</v>
      </c>
      <c r="K30" s="59">
        <f aca="true" t="shared" si="6" ref="K30:K39">I30+J30</f>
        <v>917714</v>
      </c>
      <c r="L30" s="49">
        <f t="shared" si="3"/>
        <v>17.723256434464922</v>
      </c>
      <c r="N30" s="38"/>
      <c r="O30" s="66"/>
    </row>
    <row r="31" spans="1:15" ht="20.25" customHeight="1">
      <c r="A31" s="45">
        <v>4</v>
      </c>
      <c r="B31" s="46"/>
      <c r="C31" s="47"/>
      <c r="D31" s="48" t="s">
        <v>15</v>
      </c>
      <c r="E31" s="78">
        <v>459028</v>
      </c>
      <c r="F31" s="59">
        <v>415931</v>
      </c>
      <c r="G31" s="59">
        <f t="shared" si="4"/>
        <v>874959</v>
      </c>
      <c r="H31" s="49">
        <f t="shared" si="5"/>
        <v>13.994785959874562</v>
      </c>
      <c r="I31" s="78">
        <v>506752</v>
      </c>
      <c r="J31" s="59">
        <v>454709</v>
      </c>
      <c r="K31" s="59">
        <f t="shared" si="6"/>
        <v>961461</v>
      </c>
      <c r="L31" s="49">
        <f>(K31-G31)/G31*100</f>
        <v>9.886406105886104</v>
      </c>
      <c r="N31" s="38"/>
      <c r="O31" s="66"/>
    </row>
    <row r="32" spans="1:15" ht="20.25" customHeight="1">
      <c r="A32" s="45">
        <v>5</v>
      </c>
      <c r="B32" s="46"/>
      <c r="C32" s="47"/>
      <c r="D32" s="48" t="s">
        <v>5</v>
      </c>
      <c r="E32" s="78">
        <v>461944</v>
      </c>
      <c r="F32" s="59">
        <v>408137</v>
      </c>
      <c r="G32" s="59">
        <f t="shared" si="4"/>
        <v>870081</v>
      </c>
      <c r="H32" s="49">
        <f t="shared" si="5"/>
        <v>1.536323280228167</v>
      </c>
      <c r="I32" s="78">
        <v>513042</v>
      </c>
      <c r="J32" s="59">
        <v>420162</v>
      </c>
      <c r="K32" s="59">
        <f t="shared" si="6"/>
        <v>933204</v>
      </c>
      <c r="L32" s="49">
        <f t="shared" si="3"/>
        <v>7.254841790591911</v>
      </c>
      <c r="N32" s="38"/>
      <c r="O32" s="22"/>
    </row>
    <row r="33" spans="1:15" ht="20.25" customHeight="1">
      <c r="A33" s="45">
        <v>6</v>
      </c>
      <c r="B33" s="46"/>
      <c r="C33" s="47"/>
      <c r="D33" s="48" t="s">
        <v>17</v>
      </c>
      <c r="E33" s="78">
        <v>485424</v>
      </c>
      <c r="F33" s="59">
        <v>403597</v>
      </c>
      <c r="G33" s="59">
        <f t="shared" si="4"/>
        <v>889021</v>
      </c>
      <c r="H33" s="49">
        <f t="shared" si="5"/>
        <v>10.994154529178662</v>
      </c>
      <c r="I33" s="78">
        <v>548854</v>
      </c>
      <c r="J33" s="59">
        <v>481479</v>
      </c>
      <c r="K33" s="59">
        <f t="shared" si="6"/>
        <v>1030333</v>
      </c>
      <c r="L33" s="49">
        <f t="shared" si="3"/>
        <v>15.895237570316112</v>
      </c>
      <c r="N33" s="38"/>
      <c r="O33" s="22"/>
    </row>
    <row r="34" spans="1:15" ht="20.25" customHeight="1">
      <c r="A34" s="45">
        <v>7</v>
      </c>
      <c r="B34" s="46"/>
      <c r="C34" s="47"/>
      <c r="D34" s="48" t="s">
        <v>10</v>
      </c>
      <c r="E34" s="78">
        <v>554626</v>
      </c>
      <c r="F34" s="59">
        <v>503684</v>
      </c>
      <c r="G34" s="59">
        <f t="shared" si="4"/>
        <v>1058310</v>
      </c>
      <c r="H34" s="49">
        <f t="shared" si="5"/>
        <v>7.732916915221318</v>
      </c>
      <c r="I34" s="78">
        <v>605755</v>
      </c>
      <c r="J34" s="59">
        <v>538578</v>
      </c>
      <c r="K34" s="59">
        <f t="shared" si="6"/>
        <v>1144333</v>
      </c>
      <c r="L34" s="49">
        <f t="shared" si="3"/>
        <v>8.128336687737997</v>
      </c>
      <c r="N34" s="38"/>
      <c r="O34" s="22"/>
    </row>
    <row r="35" spans="1:15" ht="20.25" customHeight="1">
      <c r="A35" s="45">
        <v>8</v>
      </c>
      <c r="B35" s="46"/>
      <c r="C35" s="47"/>
      <c r="D35" s="48" t="s">
        <v>18</v>
      </c>
      <c r="E35" s="78">
        <v>543139</v>
      </c>
      <c r="F35" s="59">
        <v>475014</v>
      </c>
      <c r="G35" s="59">
        <f t="shared" si="4"/>
        <v>1018153</v>
      </c>
      <c r="H35" s="49">
        <f t="shared" si="5"/>
        <v>13.392441491387702</v>
      </c>
      <c r="I35" s="78">
        <v>548916</v>
      </c>
      <c r="J35" s="59">
        <v>489990</v>
      </c>
      <c r="K35" s="59">
        <f t="shared" si="6"/>
        <v>1038906</v>
      </c>
      <c r="L35" s="49">
        <f t="shared" si="3"/>
        <v>2.0382987625631905</v>
      </c>
      <c r="N35" s="38"/>
      <c r="O35" s="22"/>
    </row>
    <row r="36" spans="1:15" ht="20.25" customHeight="1">
      <c r="A36" s="45">
        <v>9</v>
      </c>
      <c r="B36" s="46"/>
      <c r="C36" s="47"/>
      <c r="D36" s="48" t="s">
        <v>19</v>
      </c>
      <c r="E36" s="78">
        <v>497438</v>
      </c>
      <c r="F36" s="59">
        <v>440381</v>
      </c>
      <c r="G36" s="59">
        <f t="shared" si="4"/>
        <v>937819</v>
      </c>
      <c r="H36" s="49">
        <f t="shared" si="5"/>
        <v>10.000480905133838</v>
      </c>
      <c r="I36" s="78">
        <v>567512</v>
      </c>
      <c r="J36" s="59">
        <v>468536</v>
      </c>
      <c r="K36" s="59">
        <f t="shared" si="6"/>
        <v>1036048</v>
      </c>
      <c r="L36" s="49">
        <f t="shared" si="3"/>
        <v>10.474195980247787</v>
      </c>
      <c r="N36" s="38"/>
      <c r="O36" s="22"/>
    </row>
    <row r="37" spans="1:15" ht="20.25" customHeight="1">
      <c r="A37" s="45">
        <v>10</v>
      </c>
      <c r="B37" s="46"/>
      <c r="C37" s="47"/>
      <c r="D37" s="48" t="s">
        <v>20</v>
      </c>
      <c r="E37" s="78">
        <v>427548</v>
      </c>
      <c r="F37" s="59">
        <v>393517</v>
      </c>
      <c r="G37" s="59">
        <f t="shared" si="4"/>
        <v>821065</v>
      </c>
      <c r="H37" s="49">
        <f t="shared" si="5"/>
        <v>-2.5311406752478374</v>
      </c>
      <c r="I37" s="78">
        <v>542098</v>
      </c>
      <c r="J37" s="59">
        <v>476692</v>
      </c>
      <c r="K37" s="59">
        <f t="shared" si="6"/>
        <v>1018790</v>
      </c>
      <c r="L37" s="49">
        <f t="shared" si="3"/>
        <v>24.08152825902943</v>
      </c>
      <c r="N37" s="38"/>
      <c r="O37" s="22"/>
    </row>
    <row r="38" spans="1:15" ht="20.25" customHeight="1">
      <c r="A38" s="45">
        <v>11</v>
      </c>
      <c r="B38" s="46"/>
      <c r="C38" s="47"/>
      <c r="D38" s="48" t="s">
        <v>21</v>
      </c>
      <c r="E38" s="78">
        <v>334350</v>
      </c>
      <c r="F38" s="59">
        <v>364273</v>
      </c>
      <c r="G38" s="59">
        <f t="shared" si="4"/>
        <v>698623</v>
      </c>
      <c r="H38" s="49">
        <f t="shared" si="5"/>
        <v>-10.87469031696744</v>
      </c>
      <c r="I38" s="78">
        <v>450592</v>
      </c>
      <c r="J38" s="59">
        <v>445064</v>
      </c>
      <c r="K38" s="59">
        <f t="shared" si="6"/>
        <v>895656</v>
      </c>
      <c r="L38" s="49">
        <f t="shared" si="3"/>
        <v>28.203050858617594</v>
      </c>
      <c r="N38" s="38"/>
      <c r="O38" s="22"/>
    </row>
    <row r="39" spans="1:15" ht="20.25" customHeight="1">
      <c r="A39" s="45">
        <v>12</v>
      </c>
      <c r="B39" s="46"/>
      <c r="C39" s="47"/>
      <c r="D39" s="48" t="s">
        <v>22</v>
      </c>
      <c r="E39" s="78">
        <v>323325</v>
      </c>
      <c r="F39" s="59">
        <v>426955</v>
      </c>
      <c r="G39" s="59">
        <f t="shared" si="4"/>
        <v>750280</v>
      </c>
      <c r="H39" s="49">
        <f t="shared" si="5"/>
        <v>-18.11771587847092</v>
      </c>
      <c r="I39" s="78">
        <v>532873</v>
      </c>
      <c r="J39" s="59">
        <v>518777</v>
      </c>
      <c r="K39" s="59">
        <f t="shared" si="6"/>
        <v>1051650</v>
      </c>
      <c r="L39" s="49">
        <f t="shared" si="3"/>
        <v>40.167670736258465</v>
      </c>
      <c r="N39" s="38"/>
      <c r="O39" s="22"/>
    </row>
    <row r="40" spans="1:14" ht="8.25" customHeight="1">
      <c r="A40" s="7"/>
      <c r="B40" s="7"/>
      <c r="C40" s="21"/>
      <c r="D40" s="18"/>
      <c r="E40" s="64"/>
      <c r="F40" s="64"/>
      <c r="G40" s="64"/>
      <c r="H40" s="34"/>
      <c r="I40" s="64"/>
      <c r="J40" s="64"/>
      <c r="K40" s="64"/>
      <c r="L40" s="34"/>
      <c r="N40" s="40"/>
    </row>
    <row r="41" spans="1:14" ht="24" customHeight="1">
      <c r="A41" s="187" t="s">
        <v>2</v>
      </c>
      <c r="B41" s="188"/>
      <c r="C41" s="188"/>
      <c r="D41" s="186"/>
      <c r="E41" s="61">
        <f>SUM(E28:E39)</f>
        <v>5317800</v>
      </c>
      <c r="F41" s="61">
        <f>SUM(F28:F39)</f>
        <v>4928000</v>
      </c>
      <c r="G41" s="61">
        <f>SUM(G28:G39)</f>
        <v>10245800</v>
      </c>
      <c r="H41" s="56">
        <f>(G41-K20)/K20*100</f>
        <v>3.4241887715033843</v>
      </c>
      <c r="I41" s="61">
        <f>SUM(I28:I39)</f>
        <v>6112014</v>
      </c>
      <c r="J41" s="61">
        <f>SUM(J28:J39)</f>
        <v>5531125</v>
      </c>
      <c r="K41" s="61">
        <f>SUM(K28:K39)</f>
        <v>11643139</v>
      </c>
      <c r="L41" s="56">
        <f>(K41-G41)/G41*100</f>
        <v>13.638163930586192</v>
      </c>
      <c r="N41" s="39"/>
    </row>
    <row r="42" spans="5:7" ht="12.75">
      <c r="E42" s="62"/>
      <c r="F42" s="62"/>
      <c r="G42" s="62"/>
    </row>
    <row r="43" spans="1:7" ht="12.75">
      <c r="A43" s="13" t="s">
        <v>38</v>
      </c>
      <c r="B43" s="13"/>
      <c r="C43" s="13"/>
      <c r="D43" s="13" t="s">
        <v>39</v>
      </c>
      <c r="E43" s="62"/>
      <c r="F43" s="62"/>
      <c r="G43" s="62"/>
    </row>
    <row r="44" spans="1:7" ht="12.75">
      <c r="A44" s="12" t="s">
        <v>23</v>
      </c>
      <c r="D44" s="12" t="s">
        <v>42</v>
      </c>
      <c r="E44" s="62"/>
      <c r="F44" s="62"/>
      <c r="G44" s="62"/>
    </row>
    <row r="45" spans="5:7" ht="12.75">
      <c r="E45" s="62"/>
      <c r="F45" s="62"/>
      <c r="G45" s="62"/>
    </row>
    <row r="46" spans="1:16" ht="12.75" customHeight="1">
      <c r="A46" s="183" t="s">
        <v>12</v>
      </c>
      <c r="B46" s="16"/>
      <c r="C46" s="28"/>
      <c r="D46" s="185" t="s">
        <v>13</v>
      </c>
      <c r="E46" s="191">
        <v>2019</v>
      </c>
      <c r="F46" s="192"/>
      <c r="G46" s="193"/>
      <c r="H46" s="189" t="s">
        <v>56</v>
      </c>
      <c r="P46" s="63"/>
    </row>
    <row r="47" spans="1:8" ht="26.25">
      <c r="A47" s="184"/>
      <c r="B47" s="17"/>
      <c r="C47" s="24"/>
      <c r="D47" s="186"/>
      <c r="E47" s="25" t="s">
        <v>24</v>
      </c>
      <c r="F47" s="26" t="s">
        <v>41</v>
      </c>
      <c r="G47" s="26" t="s">
        <v>2</v>
      </c>
      <c r="H47" s="190"/>
    </row>
    <row r="48" spans="1:8" ht="6.75" customHeight="1">
      <c r="A48" s="19"/>
      <c r="B48" s="6"/>
      <c r="C48" s="22"/>
      <c r="D48" s="14"/>
      <c r="E48" s="20"/>
      <c r="F48" s="20"/>
      <c r="G48" s="20"/>
      <c r="H48" s="20"/>
    </row>
    <row r="49" spans="1:10" ht="20.25" customHeight="1">
      <c r="A49" s="45">
        <v>1</v>
      </c>
      <c r="B49" s="46"/>
      <c r="C49" s="47"/>
      <c r="D49" s="48" t="s">
        <v>36</v>
      </c>
      <c r="E49" s="78">
        <v>506304</v>
      </c>
      <c r="F49" s="57">
        <v>337103</v>
      </c>
      <c r="G49" s="59">
        <f>E49+F49</f>
        <v>843407</v>
      </c>
      <c r="H49" s="49">
        <f>(+G49-K28)/K28%</f>
        <v>10.184178759739343</v>
      </c>
      <c r="J49" s="60"/>
    </row>
    <row r="50" spans="1:10" ht="21" customHeight="1">
      <c r="A50" s="45">
        <v>2</v>
      </c>
      <c r="B50" s="46"/>
      <c r="C50" s="47"/>
      <c r="D50" s="48" t="s">
        <v>37</v>
      </c>
      <c r="E50" s="79">
        <v>484603</v>
      </c>
      <c r="F50" s="57">
        <v>325180</v>
      </c>
      <c r="G50" s="59">
        <f>E50+F50</f>
        <v>809783</v>
      </c>
      <c r="H50" s="49">
        <f>(+G50-K29)/K29%</f>
        <v>-4.685660881929208</v>
      </c>
      <c r="J50" s="38"/>
    </row>
    <row r="51" spans="1:10" ht="21" customHeight="1">
      <c r="A51" s="45">
        <v>3</v>
      </c>
      <c r="B51" s="46"/>
      <c r="C51" s="47"/>
      <c r="D51" s="48" t="s">
        <v>16</v>
      </c>
      <c r="E51" s="78">
        <v>504333</v>
      </c>
      <c r="F51" s="57">
        <v>329982</v>
      </c>
      <c r="G51" s="59">
        <f aca="true" t="shared" si="7" ref="G51:G60">E51+F51</f>
        <v>834315</v>
      </c>
      <c r="H51" s="49">
        <f aca="true" t="shared" si="8" ref="H51:H60">(+G51-K30)/K30%</f>
        <v>-9.087689628795028</v>
      </c>
      <c r="J51" s="38"/>
    </row>
    <row r="52" spans="1:10" ht="21" customHeight="1">
      <c r="A52" s="45">
        <v>4</v>
      </c>
      <c r="B52" s="46"/>
      <c r="C52" s="47"/>
      <c r="D52" s="48" t="s">
        <v>15</v>
      </c>
      <c r="E52" s="78">
        <v>577663</v>
      </c>
      <c r="F52" s="57">
        <v>332463</v>
      </c>
      <c r="G52" s="59">
        <f t="shared" si="7"/>
        <v>910126</v>
      </c>
      <c r="H52" s="49">
        <f t="shared" si="8"/>
        <v>-5.339270131601801</v>
      </c>
      <c r="J52" s="38"/>
    </row>
    <row r="53" spans="1:10" ht="21" customHeight="1">
      <c r="A53" s="45">
        <v>5</v>
      </c>
      <c r="B53" s="46"/>
      <c r="C53" s="47"/>
      <c r="D53" s="48" t="s">
        <v>5</v>
      </c>
      <c r="E53" s="78">
        <v>547067</v>
      </c>
      <c r="F53" s="57">
        <v>263978</v>
      </c>
      <c r="G53" s="59">
        <f t="shared" si="7"/>
        <v>811045</v>
      </c>
      <c r="H53" s="49">
        <f t="shared" si="8"/>
        <v>-13.09027822426822</v>
      </c>
      <c r="J53" s="38"/>
    </row>
    <row r="54" spans="1:10" ht="21" customHeight="1">
      <c r="A54" s="45">
        <v>6</v>
      </c>
      <c r="B54" s="46"/>
      <c r="C54" s="47"/>
      <c r="D54" s="48" t="s">
        <v>17</v>
      </c>
      <c r="E54" s="78">
        <v>603388</v>
      </c>
      <c r="F54" s="57">
        <v>409237</v>
      </c>
      <c r="G54" s="59">
        <f t="shared" si="7"/>
        <v>1012625</v>
      </c>
      <c r="H54" s="49">
        <f t="shared" si="8"/>
        <v>-1.7186676540497101</v>
      </c>
      <c r="J54" s="38"/>
    </row>
    <row r="55" spans="1:10" ht="21" customHeight="1">
      <c r="A55" s="45">
        <v>7</v>
      </c>
      <c r="B55" s="46"/>
      <c r="C55" s="47"/>
      <c r="D55" s="48" t="s">
        <v>10</v>
      </c>
      <c r="E55" s="78">
        <v>643306</v>
      </c>
      <c r="F55" s="57">
        <v>405937</v>
      </c>
      <c r="G55" s="59">
        <f t="shared" si="7"/>
        <v>1049243</v>
      </c>
      <c r="H55" s="49">
        <f t="shared" si="8"/>
        <v>-8.30964413330735</v>
      </c>
      <c r="J55" s="38"/>
    </row>
    <row r="56" spans="1:10" ht="21" customHeight="1">
      <c r="A56" s="45">
        <v>8</v>
      </c>
      <c r="B56" s="46"/>
      <c r="C56" s="47"/>
      <c r="D56" s="48" t="s">
        <v>18</v>
      </c>
      <c r="E56" s="78">
        <v>648459</v>
      </c>
      <c r="F56" s="57">
        <v>432538</v>
      </c>
      <c r="G56" s="59">
        <f t="shared" si="7"/>
        <v>1080997</v>
      </c>
      <c r="H56" s="49">
        <f t="shared" si="8"/>
        <v>4.051473376802137</v>
      </c>
      <c r="J56" s="38"/>
    </row>
    <row r="57" spans="1:10" ht="21" customHeight="1">
      <c r="A57" s="45">
        <v>9</v>
      </c>
      <c r="B57" s="46"/>
      <c r="C57" s="47"/>
      <c r="D57" s="48" t="s">
        <v>19</v>
      </c>
      <c r="E57" s="78">
        <v>618727</v>
      </c>
      <c r="F57" s="57">
        <v>373947</v>
      </c>
      <c r="G57" s="59">
        <f t="shared" si="7"/>
        <v>992674</v>
      </c>
      <c r="H57" s="49">
        <f t="shared" si="8"/>
        <v>-4.186485568236221</v>
      </c>
      <c r="J57" s="38"/>
    </row>
    <row r="58" spans="1:10" ht="21" customHeight="1">
      <c r="A58" s="45">
        <v>10</v>
      </c>
      <c r="B58" s="46"/>
      <c r="C58" s="47"/>
      <c r="D58" s="48" t="s">
        <v>20</v>
      </c>
      <c r="E58" s="78">
        <v>598771</v>
      </c>
      <c r="F58" s="57">
        <v>394168</v>
      </c>
      <c r="G58" s="59">
        <f t="shared" si="7"/>
        <v>992939</v>
      </c>
      <c r="H58" s="49">
        <f t="shared" si="8"/>
        <v>-2.5374218435595166</v>
      </c>
      <c r="J58" s="38"/>
    </row>
    <row r="59" spans="1:10" ht="21" customHeight="1">
      <c r="A59" s="45">
        <v>11</v>
      </c>
      <c r="B59" s="46"/>
      <c r="C59" s="47"/>
      <c r="D59" s="48" t="s">
        <v>21</v>
      </c>
      <c r="E59" s="78">
        <v>531908</v>
      </c>
      <c r="F59" s="57">
        <v>387924</v>
      </c>
      <c r="G59" s="59">
        <f t="shared" si="7"/>
        <v>919832</v>
      </c>
      <c r="H59" s="49">
        <f t="shared" si="8"/>
        <v>2.699250605143046</v>
      </c>
      <c r="J59" s="38"/>
    </row>
    <row r="60" spans="1:10" ht="21" customHeight="1">
      <c r="A60" s="45">
        <v>12</v>
      </c>
      <c r="B60" s="46"/>
      <c r="C60" s="47"/>
      <c r="D60" s="48" t="s">
        <v>22</v>
      </c>
      <c r="E60" s="78">
        <v>600405</v>
      </c>
      <c r="F60" s="57">
        <v>454798</v>
      </c>
      <c r="G60" s="59">
        <f t="shared" si="7"/>
        <v>1055203</v>
      </c>
      <c r="H60" s="49">
        <f t="shared" si="8"/>
        <v>0.33785004516711836</v>
      </c>
      <c r="J60" s="38"/>
    </row>
    <row r="61" spans="1:10" ht="11.25" customHeight="1">
      <c r="A61" s="17"/>
      <c r="B61" s="7"/>
      <c r="C61" s="21"/>
      <c r="D61" s="15"/>
      <c r="E61" s="64"/>
      <c r="F61" s="64"/>
      <c r="G61" s="64"/>
      <c r="H61" s="65"/>
      <c r="J61" s="60"/>
    </row>
    <row r="62" spans="1:10" ht="21.75" customHeight="1">
      <c r="A62" s="187" t="s">
        <v>2</v>
      </c>
      <c r="B62" s="188"/>
      <c r="C62" s="188"/>
      <c r="D62" s="186"/>
      <c r="E62" s="61">
        <f>SUM(E49:E60)</f>
        <v>6864934</v>
      </c>
      <c r="F62" s="61">
        <f>SUM(F49:F60)</f>
        <v>4447255</v>
      </c>
      <c r="G62" s="61">
        <f>SUM(G49:G60)</f>
        <v>11312189</v>
      </c>
      <c r="H62" s="69">
        <f>(+G62-K41)/K41%</f>
        <v>-2.8424465258037372</v>
      </c>
      <c r="I62" s="4"/>
      <c r="J62" s="39"/>
    </row>
    <row r="63" spans="5:7" ht="12.75">
      <c r="E63" s="62"/>
      <c r="F63" s="62"/>
      <c r="G63" s="62"/>
    </row>
    <row r="64" spans="1:12" ht="12.75">
      <c r="A64" s="11" t="s">
        <v>25</v>
      </c>
      <c r="C64" s="42" t="s">
        <v>28</v>
      </c>
      <c r="D64" s="11" t="s">
        <v>27</v>
      </c>
      <c r="E64" s="62"/>
      <c r="F64" s="62"/>
      <c r="G64" s="62"/>
      <c r="H64" s="27"/>
      <c r="L64" s="27"/>
    </row>
    <row r="65" spans="1:7" ht="12.75">
      <c r="A65" t="s">
        <v>26</v>
      </c>
      <c r="C65" s="42" t="s">
        <v>28</v>
      </c>
      <c r="D65" t="s">
        <v>29</v>
      </c>
      <c r="E65" s="62"/>
      <c r="F65" s="62"/>
      <c r="G65" s="62"/>
    </row>
    <row r="66" spans="5:7" ht="12.75">
      <c r="E66" s="62"/>
      <c r="F66" s="62"/>
      <c r="G66" s="62"/>
    </row>
    <row r="67" spans="5:7" ht="12.75">
      <c r="E67" s="62"/>
      <c r="F67" s="62"/>
      <c r="G67" s="62"/>
    </row>
    <row r="68" spans="5:7" ht="12.75">
      <c r="E68" s="4"/>
      <c r="F68" s="4"/>
      <c r="G68" s="4"/>
    </row>
  </sheetData>
  <sheetProtection/>
  <mergeCells count="19">
    <mergeCell ref="A4:A5"/>
    <mergeCell ref="D4:D5"/>
    <mergeCell ref="E4:G4"/>
    <mergeCell ref="H4:H5"/>
    <mergeCell ref="I4:K4"/>
    <mergeCell ref="L4:L5"/>
    <mergeCell ref="A20:D20"/>
    <mergeCell ref="A25:A26"/>
    <mergeCell ref="D25:D26"/>
    <mergeCell ref="E25:G25"/>
    <mergeCell ref="H25:H26"/>
    <mergeCell ref="I25:K25"/>
    <mergeCell ref="A62:D62"/>
    <mergeCell ref="L25:L26"/>
    <mergeCell ref="A41:D41"/>
    <mergeCell ref="A46:A47"/>
    <mergeCell ref="D46:D47"/>
    <mergeCell ref="E46:G46"/>
    <mergeCell ref="H46:H47"/>
  </mergeCells>
  <printOptions horizontalCentered="1"/>
  <pageMargins left="0.75" right="0.75" top="1" bottom="1" header="0.5" footer="0.5"/>
  <pageSetup horizontalDpi="300" verticalDpi="300" orientation="landscape" scale="90" r:id="rId1"/>
  <rowBreaks count="2" manualBreakCount="2">
    <brk id="21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7.00390625" style="0" customWidth="1"/>
    <col min="2" max="3" width="2.140625" style="0" customWidth="1"/>
    <col min="4" max="4" width="16.28125" style="0" customWidth="1"/>
    <col min="5" max="6" width="11.140625" style="0" customWidth="1"/>
    <col min="7" max="9" width="11.421875" style="0" customWidth="1"/>
  </cols>
  <sheetData>
    <row r="1" spans="2:4" ht="12.75">
      <c r="B1" s="13"/>
      <c r="C1" s="13"/>
      <c r="D1" s="12" t="s">
        <v>55</v>
      </c>
    </row>
    <row r="2" spans="1:9" ht="12.75">
      <c r="A2" s="13" t="s">
        <v>45</v>
      </c>
      <c r="B2" s="13"/>
      <c r="C2" s="13"/>
      <c r="D2" s="33" t="s">
        <v>250</v>
      </c>
      <c r="E2" s="21"/>
      <c r="F2" s="21"/>
      <c r="G2" s="21"/>
      <c r="H2" s="21"/>
      <c r="I2" s="21"/>
    </row>
    <row r="3" spans="1:4" ht="12.75">
      <c r="A3" s="12" t="s">
        <v>31</v>
      </c>
      <c r="B3" s="12"/>
      <c r="C3" s="12"/>
      <c r="D3" s="12" t="s">
        <v>30</v>
      </c>
    </row>
    <row r="4" spans="1:4" ht="12.75">
      <c r="A4" s="12"/>
      <c r="B4" s="12"/>
      <c r="C4" s="12"/>
      <c r="D4" s="12" t="s">
        <v>251</v>
      </c>
    </row>
    <row r="6" spans="1:10" ht="12.75" customHeight="1">
      <c r="A6" s="183" t="s">
        <v>12</v>
      </c>
      <c r="B6" s="16"/>
      <c r="C6" s="28"/>
      <c r="D6" s="185" t="s">
        <v>13</v>
      </c>
      <c r="E6" s="200">
        <v>2015</v>
      </c>
      <c r="F6" s="200">
        <v>2016</v>
      </c>
      <c r="G6" s="200">
        <v>2017</v>
      </c>
      <c r="H6" s="200">
        <v>2018</v>
      </c>
      <c r="I6" s="200">
        <v>2019</v>
      </c>
      <c r="J6" s="6"/>
    </row>
    <row r="7" spans="1:10" ht="10.5" customHeight="1">
      <c r="A7" s="184"/>
      <c r="B7" s="17"/>
      <c r="C7" s="24"/>
      <c r="D7" s="186"/>
      <c r="E7" s="201"/>
      <c r="F7" s="201"/>
      <c r="G7" s="201"/>
      <c r="H7" s="201"/>
      <c r="I7" s="201"/>
      <c r="J7" s="6"/>
    </row>
    <row r="8" spans="1:10" ht="6.75" customHeight="1">
      <c r="A8" s="19"/>
      <c r="B8" s="19"/>
      <c r="C8" s="23"/>
      <c r="D8" s="29"/>
      <c r="E8" s="10"/>
      <c r="F8" s="10"/>
      <c r="G8" s="10"/>
      <c r="H8" s="10"/>
      <c r="I8" s="10"/>
      <c r="J8" s="6"/>
    </row>
    <row r="9" spans="1:10" ht="12.75">
      <c r="A9" s="19">
        <v>1</v>
      </c>
      <c r="B9" s="6"/>
      <c r="C9" s="22"/>
      <c r="D9" s="14" t="s">
        <v>36</v>
      </c>
      <c r="E9" s="43">
        <v>448799</v>
      </c>
      <c r="F9" s="43">
        <v>448799</v>
      </c>
      <c r="G9" s="43">
        <v>375613</v>
      </c>
      <c r="H9" s="43">
        <v>532836</v>
      </c>
      <c r="I9" s="43">
        <v>418730</v>
      </c>
      <c r="J9" s="6"/>
    </row>
    <row r="10" spans="1:10" ht="12.75">
      <c r="A10" s="19">
        <v>2</v>
      </c>
      <c r="B10" s="6"/>
      <c r="C10" s="22"/>
      <c r="D10" s="14" t="s">
        <v>37</v>
      </c>
      <c r="E10" s="43">
        <v>389368</v>
      </c>
      <c r="F10" s="43">
        <v>389368</v>
      </c>
      <c r="G10" s="43">
        <v>271052</v>
      </c>
      <c r="H10" s="43">
        <v>409614</v>
      </c>
      <c r="I10" s="43">
        <v>331121</v>
      </c>
      <c r="J10" s="6"/>
    </row>
    <row r="11" spans="1:10" ht="12.75">
      <c r="A11" s="19">
        <v>3</v>
      </c>
      <c r="B11" s="6"/>
      <c r="C11" s="22"/>
      <c r="D11" s="14" t="s">
        <v>16</v>
      </c>
      <c r="E11" s="43">
        <v>408350</v>
      </c>
      <c r="F11" s="43">
        <v>408350</v>
      </c>
      <c r="G11" s="43">
        <v>344773</v>
      </c>
      <c r="H11" s="43">
        <v>511561</v>
      </c>
      <c r="I11" s="43">
        <v>416212</v>
      </c>
      <c r="J11" s="6"/>
    </row>
    <row r="12" spans="1:10" ht="12.75">
      <c r="A12" s="19">
        <v>4</v>
      </c>
      <c r="B12" s="6"/>
      <c r="C12" s="22"/>
      <c r="D12" s="14" t="s">
        <v>15</v>
      </c>
      <c r="E12" s="43">
        <v>405005</v>
      </c>
      <c r="F12" s="43">
        <v>405005</v>
      </c>
      <c r="G12" s="43">
        <v>412362</v>
      </c>
      <c r="H12" s="43">
        <v>511089</v>
      </c>
      <c r="I12" s="43">
        <v>421956</v>
      </c>
      <c r="J12" s="6"/>
    </row>
    <row r="13" spans="1:10" ht="12.75">
      <c r="A13" s="19">
        <v>5</v>
      </c>
      <c r="B13" s="6"/>
      <c r="C13" s="22"/>
      <c r="D13" s="14" t="s">
        <v>5</v>
      </c>
      <c r="E13" s="43">
        <v>458395</v>
      </c>
      <c r="F13" s="43">
        <v>458395</v>
      </c>
      <c r="G13" s="43">
        <v>345866</v>
      </c>
      <c r="H13" s="43">
        <v>422115</v>
      </c>
      <c r="I13" s="43">
        <v>345033</v>
      </c>
      <c r="J13" s="6"/>
    </row>
    <row r="14" spans="1:10" ht="12.75">
      <c r="A14" s="19">
        <v>6</v>
      </c>
      <c r="B14" s="6"/>
      <c r="C14" s="22"/>
      <c r="D14" s="14" t="s">
        <v>17</v>
      </c>
      <c r="E14" s="43">
        <v>373855</v>
      </c>
      <c r="F14" s="43">
        <v>373855</v>
      </c>
      <c r="G14" s="43">
        <v>361389</v>
      </c>
      <c r="H14" s="43">
        <v>973396</v>
      </c>
      <c r="I14" s="43">
        <v>824901</v>
      </c>
      <c r="J14" s="6"/>
    </row>
    <row r="15" spans="1:10" ht="12.75">
      <c r="A15" s="19">
        <v>7</v>
      </c>
      <c r="B15" s="6"/>
      <c r="C15" s="22"/>
      <c r="D15" s="14" t="s">
        <v>10</v>
      </c>
      <c r="E15" s="43">
        <v>638824</v>
      </c>
      <c r="F15" s="43">
        <v>638824</v>
      </c>
      <c r="G15" s="43">
        <v>532187</v>
      </c>
      <c r="H15" s="43">
        <v>584731</v>
      </c>
      <c r="I15" s="43">
        <v>478760</v>
      </c>
      <c r="J15" s="6"/>
    </row>
    <row r="16" spans="1:10" ht="12.75">
      <c r="A16" s="19">
        <v>8</v>
      </c>
      <c r="B16" s="6"/>
      <c r="C16" s="22"/>
      <c r="D16" s="14" t="s">
        <v>18</v>
      </c>
      <c r="E16" s="43">
        <v>435703</v>
      </c>
      <c r="F16" s="43">
        <v>435703</v>
      </c>
      <c r="G16" s="43">
        <v>448376</v>
      </c>
      <c r="H16" s="43">
        <v>464318</v>
      </c>
      <c r="I16" s="43">
        <v>447373</v>
      </c>
      <c r="J16" s="6"/>
    </row>
    <row r="17" spans="1:10" ht="12.75">
      <c r="A17" s="19">
        <v>9</v>
      </c>
      <c r="B17" s="6"/>
      <c r="C17" s="22"/>
      <c r="D17" s="14" t="s">
        <v>19</v>
      </c>
      <c r="E17" s="43">
        <v>365938</v>
      </c>
      <c r="F17" s="43">
        <v>365938</v>
      </c>
      <c r="G17" s="43">
        <v>538086</v>
      </c>
      <c r="H17" s="43">
        <v>492051</v>
      </c>
      <c r="I17" s="43">
        <v>395703</v>
      </c>
      <c r="J17" s="6"/>
    </row>
    <row r="18" spans="1:10" ht="12.75">
      <c r="A18" s="19">
        <v>10</v>
      </c>
      <c r="B18" s="6"/>
      <c r="C18" s="22"/>
      <c r="D18" s="14" t="s">
        <v>20</v>
      </c>
      <c r="E18" s="43">
        <v>396742</v>
      </c>
      <c r="F18" s="43">
        <v>396742</v>
      </c>
      <c r="G18" s="43">
        <v>467115</v>
      </c>
      <c r="H18" s="43">
        <v>467522</v>
      </c>
      <c r="I18" s="43">
        <v>414519</v>
      </c>
      <c r="J18" s="6"/>
    </row>
    <row r="19" spans="1:10" ht="12.75">
      <c r="A19" s="19">
        <v>11</v>
      </c>
      <c r="B19" s="6"/>
      <c r="C19" s="22"/>
      <c r="D19" s="14" t="s">
        <v>21</v>
      </c>
      <c r="E19" s="43">
        <v>348973</v>
      </c>
      <c r="F19" s="43">
        <v>348973</v>
      </c>
      <c r="G19" s="43">
        <v>508184</v>
      </c>
      <c r="H19" s="43">
        <v>331464</v>
      </c>
      <c r="I19" s="43">
        <v>419983</v>
      </c>
      <c r="J19" s="6"/>
    </row>
    <row r="20" spans="1:10" ht="12.75">
      <c r="A20" s="19">
        <v>12</v>
      </c>
      <c r="B20" s="6"/>
      <c r="C20" s="22"/>
      <c r="D20" s="14" t="s">
        <v>22</v>
      </c>
      <c r="E20" s="43">
        <v>508165</v>
      </c>
      <c r="F20" s="43">
        <v>508165</v>
      </c>
      <c r="G20" s="43">
        <v>687308</v>
      </c>
      <c r="H20" s="43">
        <v>663511</v>
      </c>
      <c r="I20" s="43">
        <v>651546</v>
      </c>
      <c r="J20" s="6"/>
    </row>
    <row r="21" spans="1:10" ht="8.25" customHeight="1">
      <c r="A21" s="30"/>
      <c r="B21" s="21"/>
      <c r="C21" s="21"/>
      <c r="D21" s="15"/>
      <c r="E21" s="43"/>
      <c r="F21" s="43"/>
      <c r="G21" s="10"/>
      <c r="H21" s="10"/>
      <c r="I21" s="10"/>
      <c r="J21" s="6"/>
    </row>
    <row r="22" spans="1:11" ht="20.25" customHeight="1">
      <c r="A22" s="197" t="s">
        <v>32</v>
      </c>
      <c r="B22" s="198"/>
      <c r="C22" s="198"/>
      <c r="D22" s="199"/>
      <c r="E22" s="67">
        <f>SUM(E9:E20)</f>
        <v>5178117</v>
      </c>
      <c r="F22" s="68">
        <f>SUM(F9:F20)</f>
        <v>5178117</v>
      </c>
      <c r="G22" s="68">
        <f>SUM(G9:G20)</f>
        <v>5292311</v>
      </c>
      <c r="H22" s="68">
        <f>SUM(H9:H20)</f>
        <v>6364208</v>
      </c>
      <c r="I22" s="68">
        <v>5565838</v>
      </c>
      <c r="J22" s="6"/>
      <c r="K22" s="44"/>
    </row>
    <row r="23" spans="5:7" ht="12.75">
      <c r="E23" s="4"/>
      <c r="F23" s="4"/>
      <c r="G23" s="4"/>
    </row>
    <row r="24" spans="1:4" ht="12.75">
      <c r="A24" s="11" t="s">
        <v>25</v>
      </c>
      <c r="C24" s="42" t="s">
        <v>28</v>
      </c>
      <c r="D24" s="11" t="s">
        <v>43</v>
      </c>
    </row>
    <row r="25" spans="1:4" ht="12.75">
      <c r="A25" t="s">
        <v>26</v>
      </c>
      <c r="C25" s="42" t="s">
        <v>28</v>
      </c>
      <c r="D25" t="s">
        <v>44</v>
      </c>
    </row>
  </sheetData>
  <sheetProtection/>
  <mergeCells count="8">
    <mergeCell ref="A22:D22"/>
    <mergeCell ref="A6:A7"/>
    <mergeCell ref="D6:D7"/>
    <mergeCell ref="I6:I7"/>
    <mergeCell ref="H6:H7"/>
    <mergeCell ref="G6:G7"/>
    <mergeCell ref="F6:F7"/>
    <mergeCell ref="E6:E7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6">
      <selection activeCell="I9" sqref="I9:I20"/>
    </sheetView>
  </sheetViews>
  <sheetFormatPr defaultColWidth="9.140625" defaultRowHeight="12.75"/>
  <cols>
    <col min="1" max="1" width="7.00390625" style="0" customWidth="1"/>
    <col min="2" max="3" width="2.140625" style="0" customWidth="1"/>
    <col min="4" max="4" width="16.28125" style="0" customWidth="1"/>
    <col min="5" max="6" width="11.140625" style="0" customWidth="1"/>
    <col min="7" max="9" width="11.421875" style="0" customWidth="1"/>
  </cols>
  <sheetData>
    <row r="1" spans="2:4" ht="12.75">
      <c r="B1" s="13"/>
      <c r="C1" s="13"/>
      <c r="D1" s="12" t="s">
        <v>62</v>
      </c>
    </row>
    <row r="2" spans="1:7" ht="12.75">
      <c r="A2" s="13" t="s">
        <v>59</v>
      </c>
      <c r="B2" s="13"/>
      <c r="C2" s="13"/>
      <c r="D2" s="94" t="s">
        <v>254</v>
      </c>
      <c r="E2" s="22"/>
      <c r="F2" s="22"/>
      <c r="G2" s="22"/>
    </row>
    <row r="3" spans="1:9" ht="12.75">
      <c r="A3" s="12" t="s">
        <v>60</v>
      </c>
      <c r="B3" s="12"/>
      <c r="C3" s="12"/>
      <c r="D3" s="95" t="s">
        <v>61</v>
      </c>
      <c r="E3" s="96"/>
      <c r="F3" s="96"/>
      <c r="G3" s="96"/>
      <c r="H3" s="96"/>
      <c r="I3" s="96"/>
    </row>
    <row r="4" spans="1:4" ht="12.75">
      <c r="A4" s="12"/>
      <c r="B4" s="12"/>
      <c r="C4" s="12"/>
      <c r="D4" s="12" t="s">
        <v>255</v>
      </c>
    </row>
    <row r="6" spans="1:10" ht="12.75" customHeight="1">
      <c r="A6" s="183" t="s">
        <v>12</v>
      </c>
      <c r="B6" s="16"/>
      <c r="C6" s="28"/>
      <c r="D6" s="185" t="s">
        <v>13</v>
      </c>
      <c r="E6" s="200">
        <v>2015</v>
      </c>
      <c r="F6" s="200">
        <v>2016</v>
      </c>
      <c r="G6" s="200">
        <v>2017</v>
      </c>
      <c r="H6" s="200">
        <v>2018</v>
      </c>
      <c r="I6" s="200">
        <v>2019</v>
      </c>
      <c r="J6" s="6"/>
    </row>
    <row r="7" spans="1:10" ht="10.5" customHeight="1">
      <c r="A7" s="184"/>
      <c r="B7" s="17"/>
      <c r="C7" s="24"/>
      <c r="D7" s="186"/>
      <c r="E7" s="201"/>
      <c r="F7" s="201"/>
      <c r="G7" s="201"/>
      <c r="H7" s="201"/>
      <c r="I7" s="201"/>
      <c r="J7" s="6"/>
    </row>
    <row r="8" spans="1:10" ht="6.75" customHeight="1">
      <c r="A8" s="19"/>
      <c r="B8" s="19"/>
      <c r="C8" s="23"/>
      <c r="D8" s="29"/>
      <c r="E8" s="10"/>
      <c r="F8" s="10"/>
      <c r="G8" s="10"/>
      <c r="H8" s="10"/>
      <c r="I8" s="10"/>
      <c r="J8" s="6"/>
    </row>
    <row r="9" spans="1:10" ht="12.75">
      <c r="A9" s="19">
        <v>1</v>
      </c>
      <c r="B9" s="6"/>
      <c r="C9" s="22"/>
      <c r="D9" s="14" t="s">
        <v>36</v>
      </c>
      <c r="E9" s="43">
        <v>55574</v>
      </c>
      <c r="F9" s="43">
        <v>57636</v>
      </c>
      <c r="G9" s="43">
        <v>58628</v>
      </c>
      <c r="H9" s="43">
        <v>48468</v>
      </c>
      <c r="I9" s="43">
        <v>37694</v>
      </c>
      <c r="J9" s="6"/>
    </row>
    <row r="10" spans="1:10" ht="12.75">
      <c r="A10" s="19">
        <v>2</v>
      </c>
      <c r="B10" s="6"/>
      <c r="C10" s="22"/>
      <c r="D10" s="14" t="s">
        <v>37</v>
      </c>
      <c r="E10" s="43">
        <v>43946</v>
      </c>
      <c r="F10" s="43">
        <v>50645</v>
      </c>
      <c r="G10" s="43">
        <v>45728</v>
      </c>
      <c r="H10" s="43">
        <v>41438</v>
      </c>
      <c r="I10" s="43">
        <v>35812</v>
      </c>
      <c r="J10" s="6"/>
    </row>
    <row r="11" spans="1:10" ht="12.75">
      <c r="A11" s="19">
        <v>3</v>
      </c>
      <c r="B11" s="6"/>
      <c r="C11" s="22"/>
      <c r="D11" s="14" t="s">
        <v>16</v>
      </c>
      <c r="E11" s="43">
        <v>50790</v>
      </c>
      <c r="F11" s="43">
        <v>62470</v>
      </c>
      <c r="G11" s="43">
        <v>51615</v>
      </c>
      <c r="H11" s="43">
        <v>49756</v>
      </c>
      <c r="I11" s="43">
        <v>41422</v>
      </c>
      <c r="J11" s="6"/>
    </row>
    <row r="12" spans="1:10" ht="12.75">
      <c r="A12" s="19">
        <v>4</v>
      </c>
      <c r="B12" s="6"/>
      <c r="C12" s="22"/>
      <c r="D12" s="14" t="s">
        <v>15</v>
      </c>
      <c r="E12" s="43">
        <v>51858</v>
      </c>
      <c r="F12" s="43">
        <v>53005</v>
      </c>
      <c r="G12" s="43">
        <v>52168</v>
      </c>
      <c r="H12" s="43">
        <v>52110</v>
      </c>
      <c r="I12" s="43">
        <v>41578</v>
      </c>
      <c r="J12" s="6"/>
    </row>
    <row r="13" spans="1:10" ht="12.75">
      <c r="A13" s="19">
        <v>5</v>
      </c>
      <c r="B13" s="6"/>
      <c r="C13" s="22"/>
      <c r="D13" s="14" t="s">
        <v>5</v>
      </c>
      <c r="E13" s="43">
        <v>57771</v>
      </c>
      <c r="F13" s="43">
        <v>62592</v>
      </c>
      <c r="G13" s="43">
        <v>52533</v>
      </c>
      <c r="H13" s="43">
        <v>52788</v>
      </c>
      <c r="I13" s="43">
        <v>47072</v>
      </c>
      <c r="J13" s="6"/>
    </row>
    <row r="14" spans="1:10" ht="12.75">
      <c r="A14" s="19">
        <v>6</v>
      </c>
      <c r="B14" s="6"/>
      <c r="C14" s="22"/>
      <c r="D14" s="14" t="s">
        <v>17</v>
      </c>
      <c r="E14" s="43">
        <v>60015</v>
      </c>
      <c r="F14" s="43">
        <v>60258</v>
      </c>
      <c r="G14" s="43">
        <v>58614</v>
      </c>
      <c r="H14" s="43">
        <v>67789</v>
      </c>
      <c r="I14" s="43">
        <v>53738</v>
      </c>
      <c r="J14" s="6"/>
    </row>
    <row r="15" spans="1:10" ht="12.75">
      <c r="A15" s="19">
        <v>7</v>
      </c>
      <c r="B15" s="6"/>
      <c r="C15" s="22"/>
      <c r="D15" s="14" t="s">
        <v>10</v>
      </c>
      <c r="E15" s="43">
        <v>79735</v>
      </c>
      <c r="F15" s="43">
        <v>85179</v>
      </c>
      <c r="G15" s="43">
        <v>75987</v>
      </c>
      <c r="H15" s="43">
        <v>64424</v>
      </c>
      <c r="I15" s="43">
        <v>51234</v>
      </c>
      <c r="J15" s="6"/>
    </row>
    <row r="16" spans="1:10" ht="12.75">
      <c r="A16" s="19">
        <v>8</v>
      </c>
      <c r="B16" s="6"/>
      <c r="C16" s="22"/>
      <c r="D16" s="14" t="s">
        <v>18</v>
      </c>
      <c r="E16" s="43">
        <v>67959</v>
      </c>
      <c r="F16" s="43">
        <v>62204</v>
      </c>
      <c r="G16" s="43">
        <v>62835</v>
      </c>
      <c r="H16" s="43">
        <v>52332</v>
      </c>
      <c r="I16" s="43">
        <v>45450</v>
      </c>
      <c r="J16" s="6"/>
    </row>
    <row r="17" spans="1:10" ht="12.75">
      <c r="A17" s="19">
        <v>9</v>
      </c>
      <c r="B17" s="6"/>
      <c r="C17" s="22"/>
      <c r="D17" s="14" t="s">
        <v>19</v>
      </c>
      <c r="E17" s="43">
        <v>59972</v>
      </c>
      <c r="F17" s="43">
        <v>58495</v>
      </c>
      <c r="G17" s="43">
        <v>60146</v>
      </c>
      <c r="H17" s="43">
        <v>52418</v>
      </c>
      <c r="I17" s="43">
        <v>42353</v>
      </c>
      <c r="J17" s="6"/>
    </row>
    <row r="18" spans="1:10" ht="12.75">
      <c r="A18" s="19">
        <v>10</v>
      </c>
      <c r="B18" s="6"/>
      <c r="C18" s="22"/>
      <c r="D18" s="14" t="s">
        <v>20</v>
      </c>
      <c r="E18" s="43">
        <v>60702</v>
      </c>
      <c r="F18" s="43">
        <v>64204</v>
      </c>
      <c r="G18" s="43">
        <v>54019</v>
      </c>
      <c r="H18" s="43">
        <v>52384</v>
      </c>
      <c r="I18" s="43">
        <v>44320</v>
      </c>
      <c r="J18" s="6"/>
    </row>
    <row r="19" spans="1:10" ht="12.75">
      <c r="A19" s="19">
        <v>11</v>
      </c>
      <c r="B19" s="6"/>
      <c r="C19" s="22"/>
      <c r="D19" s="14" t="s">
        <v>21</v>
      </c>
      <c r="E19" s="43">
        <v>59711</v>
      </c>
      <c r="F19" s="43">
        <v>58495</v>
      </c>
      <c r="G19" s="43">
        <v>53718</v>
      </c>
      <c r="H19" s="43">
        <v>50625</v>
      </c>
      <c r="I19" s="43">
        <v>44719</v>
      </c>
      <c r="J19" s="6"/>
    </row>
    <row r="20" spans="1:10" ht="12.75">
      <c r="A20" s="19">
        <v>12</v>
      </c>
      <c r="B20" s="6"/>
      <c r="C20" s="22"/>
      <c r="D20" s="14" t="s">
        <v>22</v>
      </c>
      <c r="E20" s="43">
        <v>67479</v>
      </c>
      <c r="F20" s="43">
        <v>69907</v>
      </c>
      <c r="G20" s="43">
        <v>58160</v>
      </c>
      <c r="H20" s="43">
        <v>55457</v>
      </c>
      <c r="I20" s="43">
        <v>46557</v>
      </c>
      <c r="J20" s="6"/>
    </row>
    <row r="21" spans="1:10" ht="8.25" customHeight="1">
      <c r="A21" s="30"/>
      <c r="B21" s="21"/>
      <c r="C21" s="21"/>
      <c r="D21" s="15"/>
      <c r="E21" s="43"/>
      <c r="F21" s="10"/>
      <c r="G21" s="10"/>
      <c r="H21" s="10"/>
      <c r="I21" s="10"/>
      <c r="J21" s="6"/>
    </row>
    <row r="22" spans="1:11" ht="20.25" customHeight="1">
      <c r="A22" s="197" t="s">
        <v>32</v>
      </c>
      <c r="B22" s="198"/>
      <c r="C22" s="198"/>
      <c r="D22" s="199"/>
      <c r="E22" s="68">
        <f>SUM(E9:E20)</f>
        <v>715512</v>
      </c>
      <c r="F22" s="68">
        <f>SUM(F9:F20)</f>
        <v>745090</v>
      </c>
      <c r="G22" s="68">
        <f>SUM(G9:G20)</f>
        <v>684151</v>
      </c>
      <c r="H22" s="68">
        <f>SUM(H9:H20)</f>
        <v>639989</v>
      </c>
      <c r="I22" s="68">
        <v>531948</v>
      </c>
      <c r="J22" s="6"/>
      <c r="K22" s="44"/>
    </row>
    <row r="23" spans="5:7" ht="12.75">
      <c r="E23" s="4"/>
      <c r="F23" s="4"/>
      <c r="G23" s="4"/>
    </row>
    <row r="24" spans="1:4" ht="12.75">
      <c r="A24" s="11" t="s">
        <v>25</v>
      </c>
      <c r="C24" s="42" t="s">
        <v>28</v>
      </c>
      <c r="D24" s="11" t="s">
        <v>43</v>
      </c>
    </row>
    <row r="25" spans="1:4" ht="12.75">
      <c r="A25" t="s">
        <v>26</v>
      </c>
      <c r="C25" s="42" t="s">
        <v>28</v>
      </c>
      <c r="D25" t="s">
        <v>44</v>
      </c>
    </row>
    <row r="27" ht="12.75">
      <c r="H27" s="4"/>
    </row>
  </sheetData>
  <sheetProtection/>
  <mergeCells count="8">
    <mergeCell ref="I6:I7"/>
    <mergeCell ref="A22:D22"/>
    <mergeCell ref="A6:A7"/>
    <mergeCell ref="D6:D7"/>
    <mergeCell ref="H6:H7"/>
    <mergeCell ref="E6:E7"/>
    <mergeCell ref="F6:F7"/>
    <mergeCell ref="G6:G7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Dinas Pariwisata</dc:creator>
  <cp:keywords/>
  <dc:description/>
  <cp:lastModifiedBy>user</cp:lastModifiedBy>
  <cp:lastPrinted>2018-03-26T15:23:59Z</cp:lastPrinted>
  <dcterms:created xsi:type="dcterms:W3CDTF">2001-07-30T00:18:06Z</dcterms:created>
  <dcterms:modified xsi:type="dcterms:W3CDTF">2020-06-23T00:36:37Z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