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<sst xmlns="http://schemas.openxmlformats.org/spreadsheetml/2006/main" count="228" uniqueCount="225">
  <si>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</si>
  <si>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</si>
  <si>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</si>
  <si>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</si>
  <si>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</si>
  <si>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</si>
  <si>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</si>
  <si>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</si>
  <si>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</si>
  <si>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</si>
  <si>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</si>
  <si>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</si>
  <si>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</si>
  <si>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</si>
  <si>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</si>
  <si>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</si>
  <si>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</si>
  <si>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</si>
  <si>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</si>
  <si>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</si>
  <si>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</si>
  <si>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</si>
  <si>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</si>
  <si>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</si>
  <si>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</si>
  <si>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</si>
  <si>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</si>
  <si>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</si>
  <si>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</si>
  <si>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</si>
  <si>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</si>
  <si>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</si>
  <si>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</si>
  <si>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</si>
  <si>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</si>
  <si>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</si>
  <si>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</si>
  <si>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</si>
  <si>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</si>
  <si>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</si>
  <si>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</si>
  <si>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</si>
  <si>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</si>
  <si>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</si>
  <si>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</si>
  <si>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</si>
  <si>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</si>
  <si>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</si>
  <si>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</si>
  <si>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</si>
  <si>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</si>
  <si>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</si>
  <si>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</si>
  <si>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</si>
  <si>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</si>
  <si>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</si>
  <si>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</si>
  <si>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</si>
  <si>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</si>
  <si>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</si>
  <si>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</si>
  <si>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</si>
  <si>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</si>
  <si>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</si>
  <si>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</si>
  <si>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</si>
  <si>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</si>
  <si>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</si>
  <si>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</si>
  <si>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</si>
  <si>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</si>
  <si>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</si>
  <si>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</si>
  <si>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</si>
  <si>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</si>
  <si>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</si>
  <si>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</si>
  <si>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</si>
  <si>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</si>
  <si>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</si>
  <si>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</si>
  <si>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</si>
  <si>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</si>
  <si>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</si>
  <si>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</si>
  <si>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</si>
  <si>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</si>
  <si>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</si>
  <si>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</si>
  <si>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</si>
  <si>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</si>
  <si>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</si>
  <si>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</si>
  <si>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</si>
  <si>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</si>
  <si>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</si>
  <si>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</si>
  <si>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</si>
  <si>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</si>
  <si>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</si>
  <si>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</si>
  <si>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</si>
  <si>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</si>
  <si>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</si>
  <si>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</si>
  <si>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</si>
  <si>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</si>
  <si>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</si>
  <si>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</si>
  <si>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</si>
  <si>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</si>
  <si>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</si>
  <si>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</si>
  <si>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</si>
  <si>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</si>
  <si>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</si>
  <si>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</si>
  <si>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</si>
  <si>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</si>
  <si>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</si>
  <si>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</si>
  <si>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</si>
  <si>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</si>
  <si>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</si>
  <si>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</si>
  <si>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</si>
  <si>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</si>
  <si>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</si>
  <si>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</si>
  <si>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</si>
  <si>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</si>
  <si>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</si>
  <si>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</si>
  <si>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</si>
  <si>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</si>
  <si>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</si>
  <si>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</si>
  <si>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</si>
  <si>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</si>
  <si>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</si>
  <si>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</si>
  <si>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</si>
  <si>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</si>
  <si>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</si>
  <si>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</si>
  <si>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</si>
  <si>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</si>
  <si>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</si>
  <si>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</si>
  <si>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</si>
  <si>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</si>
  <si>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</si>
  <si>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</si>
  <si>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</si>
  <si>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</si>
  <si>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</si>
  <si>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</si>
  <si>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</si>
  <si>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</si>
  <si>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</si>
  <si>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</si>
  <si>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</si>
  <si>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</si>
  <si>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</si>
  <si>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</si>
  <si>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</si>
  <si>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</si>
  <si>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</si>
  <si>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</si>
  <si>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</si>
  <si>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</si>
  <si>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</si>
  <si>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</si>
  <si>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</si>
  <si>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</si>
  <si>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</si>
  <si>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</si>
  <si>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</si>
  <si>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</si>
  <si>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</si>
  <si>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</si>
  <si>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</si>
  <si>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</si>
  <si>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</si>
  <si>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</si>
  <si>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</si>
  <si>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</si>
  <si>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</si>
  <si>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</si>
  <si>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</si>
  <si>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</si>
  <si>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</si>
  <si>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</si>
  <si>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</si>
  <si>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</si>
  <si>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</si>
  <si>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</si>
  <si>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</si>
  <si>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</si>
  <si>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</si>
  <si>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</si>
  <si>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</si>
  <si>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</si>
  <si>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</si>
  <si>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</si>
  <si>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</si>
  <si>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</si>
  <si>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</si>
  <si>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</si>
  <si>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</si>
  <si>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</si>
  <si>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</si>
  <si>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</si>
  <si>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</si>
  <si>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</si>
  <si>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</si>
  <si>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</si>
  <si>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</si>
  <si>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</si>
  <si>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>2019</t>
  </si>
  <si>
    <t xml:space="preserve">            DIRECT FOREIGN TOURIST ARRIVALS TO BALI BY NATIONALITY BY MONTH IN 2020</t>
  </si>
  <si>
    <t>The number of direct arrival in December 2020  is 150</t>
  </si>
  <si>
    <t>January-December  :</t>
  </si>
  <si>
    <t>The number of direct arrival in December 2019 was 552.403</t>
  </si>
  <si>
    <r>
      <t>The number of foreign direct arrival in 2020 decrease</t>
    </r>
    <r>
      <rPr>
        <b/>
        <u val="single"/>
        <sz val="10"/>
        <rFont val="Arial Narrow"/>
        <family val="2"/>
      </rPr>
      <t xml:space="preserve">  (-99.97%) </t>
    </r>
    <r>
      <rPr>
        <b/>
        <sz val="10"/>
        <rFont val="Arial Narrow"/>
        <family val="2"/>
      </rPr>
      <t>compared to that of 2019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</si>
</sst>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1" fontId="1" fillId="0" borderId="10" xfId="0" applyNumberFormat="1" applyFont="1" applyFill="1" applyBorder="1" applyAlignment="1" quotePrefix="1">
      <alignment/>
    </xf>
    <xf numFmtId="41" fontId="1" fillId="0" borderId="15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1" fillId="35" borderId="10" xfId="0" applyNumberFormat="1" applyFont="1" applyFill="1" applyBorder="1" applyAlignment="1">
      <alignment/>
    </xf>
    <xf numFmtId="41" fontId="1" fillId="35" borderId="10" xfId="0" applyNumberFormat="1" applyFont="1" applyFill="1" applyBorder="1" applyAlignment="1">
      <alignment horizontal="right"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1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" sqref="M15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42" t="s">
        <v>220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312868</v>
      </c>
      <c r="D5" s="41">
        <f t="shared" si="0"/>
        <v>172516</v>
      </c>
      <c r="E5" s="41">
        <f t="shared" si="0"/>
        <v>64730</v>
      </c>
      <c r="F5" s="41">
        <f t="shared" si="0"/>
        <v>116</v>
      </c>
      <c r="G5" s="41">
        <f>SUM(G6:G33)</f>
        <v>0</v>
      </c>
      <c r="H5" s="41">
        <f>SUM(H6:H33)</f>
        <v>3</v>
      </c>
      <c r="I5" s="41">
        <f t="shared" si="0"/>
        <v>12</v>
      </c>
      <c r="J5" s="41">
        <f>SUM(J6:J33)</f>
        <v>11</v>
      </c>
      <c r="K5" s="41">
        <f>SUM(K6:K33)</f>
        <v>70</v>
      </c>
      <c r="L5" s="41">
        <f t="shared" si="0"/>
        <v>21</v>
      </c>
      <c r="M5" s="41">
        <f t="shared" si="0"/>
        <v>29</v>
      </c>
      <c r="N5" s="41">
        <f t="shared" si="0"/>
        <v>14</v>
      </c>
      <c r="O5" s="41">
        <f>SUM(C5:N5)</f>
        <v>550390</v>
      </c>
      <c r="P5" s="42">
        <f aca="true" t="shared" si="1" ref="P5:P36">O5/$O$196*100</f>
        <v>52.39294662371585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103087</v>
      </c>
      <c r="D6" s="44">
        <v>81874</v>
      </c>
      <c r="E6" s="44">
        <v>37390</v>
      </c>
      <c r="F6" s="45">
        <v>7</v>
      </c>
      <c r="G6" s="44">
        <v>0</v>
      </c>
      <c r="H6" s="44">
        <v>2</v>
      </c>
      <c r="I6" s="44">
        <v>7</v>
      </c>
      <c r="J6" s="44">
        <f>2+2</f>
        <v>4</v>
      </c>
      <c r="K6" s="44">
        <v>0</v>
      </c>
      <c r="L6" s="44">
        <v>0</v>
      </c>
      <c r="M6" s="44">
        <v>3</v>
      </c>
      <c r="N6" s="44">
        <v>5</v>
      </c>
      <c r="O6" s="46">
        <f>SUM(C6:N6)</f>
        <v>222379</v>
      </c>
      <c r="P6" s="47">
        <f t="shared" si="1"/>
        <v>21.168791361099053</v>
      </c>
      <c r="Q6" s="7">
        <f>1134057-O6</f>
        <v>911678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20">
        <v>96</v>
      </c>
      <c r="D7" s="20">
        <v>46</v>
      </c>
      <c r="E7" s="20">
        <v>20</v>
      </c>
      <c r="F7" s="21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44">
        <v>0</v>
      </c>
      <c r="M7" s="20">
        <v>0</v>
      </c>
      <c r="N7" s="20">
        <v>0</v>
      </c>
      <c r="O7" s="22">
        <f aca="true" t="shared" si="2" ref="O7:O68">SUM(C7:N7)</f>
        <v>162</v>
      </c>
      <c r="P7" s="23">
        <f t="shared" si="1"/>
        <v>0.015421169267323113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20">
        <v>2551</v>
      </c>
      <c r="D8" s="20">
        <f>1515+4</f>
        <v>1519</v>
      </c>
      <c r="E8" s="20">
        <f>567+1</f>
        <v>568</v>
      </c>
      <c r="F8" s="21">
        <v>2</v>
      </c>
      <c r="G8" s="20">
        <v>0</v>
      </c>
      <c r="H8" s="44">
        <v>0</v>
      </c>
      <c r="I8" s="20">
        <v>0</v>
      </c>
      <c r="J8" s="20">
        <v>0</v>
      </c>
      <c r="K8" s="20">
        <v>0</v>
      </c>
      <c r="L8" s="44">
        <v>0</v>
      </c>
      <c r="M8" s="20">
        <v>0</v>
      </c>
      <c r="N8" s="20">
        <v>0</v>
      </c>
      <c r="O8" s="22">
        <f t="shared" si="2"/>
        <v>4640</v>
      </c>
      <c r="P8" s="23">
        <f t="shared" si="1"/>
        <v>0.4416927493850571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20">
        <v>99</v>
      </c>
      <c r="D9" s="20">
        <f>86+8+2</f>
        <v>96</v>
      </c>
      <c r="E9" s="20">
        <v>32</v>
      </c>
      <c r="F9" s="21">
        <v>0</v>
      </c>
      <c r="G9" s="20">
        <v>0</v>
      </c>
      <c r="H9" s="20">
        <v>0</v>
      </c>
      <c r="I9" s="20">
        <v>0</v>
      </c>
      <c r="J9" s="20">
        <v>0</v>
      </c>
      <c r="K9" s="44">
        <v>0</v>
      </c>
      <c r="L9" s="44">
        <v>0</v>
      </c>
      <c r="M9" s="20">
        <v>0</v>
      </c>
      <c r="N9" s="20">
        <v>0</v>
      </c>
      <c r="O9" s="22">
        <f t="shared" si="2"/>
        <v>227</v>
      </c>
      <c r="P9" s="23">
        <f t="shared" si="1"/>
        <v>0.0216086754548293</v>
      </c>
      <c r="R9" s="4"/>
      <c r="S9" s="4"/>
      <c r="T9" s="4"/>
      <c r="U9" s="4"/>
      <c r="V9" s="11"/>
    </row>
    <row r="10" spans="1:21" ht="12.75" customHeight="1">
      <c r="A10" s="43">
        <v>5</v>
      </c>
      <c r="B10" s="60" t="s">
        <v>17</v>
      </c>
      <c r="C10" s="20">
        <f>2+2+1</f>
        <v>5</v>
      </c>
      <c r="D10" s="20">
        <v>1</v>
      </c>
      <c r="E10" s="20">
        <f>0+1</f>
        <v>1</v>
      </c>
      <c r="F10" s="21">
        <v>0</v>
      </c>
      <c r="G10" s="20">
        <v>0</v>
      </c>
      <c r="H10" s="44">
        <v>0</v>
      </c>
      <c r="I10" s="20">
        <v>0</v>
      </c>
      <c r="J10" s="20">
        <v>0</v>
      </c>
      <c r="K10" s="20">
        <v>0</v>
      </c>
      <c r="L10" s="44">
        <v>0</v>
      </c>
      <c r="M10" s="20">
        <v>0</v>
      </c>
      <c r="N10" s="20">
        <v>0</v>
      </c>
      <c r="O10" s="22">
        <f t="shared" si="2"/>
        <v>7</v>
      </c>
      <c r="P10" s="23">
        <f t="shared" si="1"/>
        <v>0.000666346820192974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20">
        <v>29797</v>
      </c>
      <c r="D11" s="20">
        <v>29994</v>
      </c>
      <c r="E11" s="20">
        <v>7538</v>
      </c>
      <c r="F11" s="21">
        <v>34</v>
      </c>
      <c r="G11" s="20">
        <v>0</v>
      </c>
      <c r="H11" s="20">
        <v>1</v>
      </c>
      <c r="I11" s="20">
        <v>0</v>
      </c>
      <c r="J11" s="20">
        <v>3</v>
      </c>
      <c r="K11" s="20">
        <v>0</v>
      </c>
      <c r="L11" s="44">
        <v>0</v>
      </c>
      <c r="M11" s="20">
        <v>0</v>
      </c>
      <c r="N11" s="20">
        <v>0</v>
      </c>
      <c r="O11" s="22">
        <f>SUM(C11:N11)</f>
        <v>67367</v>
      </c>
      <c r="P11" s="23">
        <f t="shared" si="1"/>
        <v>6.412826605134297</v>
      </c>
      <c r="Q11" s="7">
        <f>334622-O11</f>
        <v>267255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20">
        <v>17065</v>
      </c>
      <c r="D12" s="20">
        <v>22618</v>
      </c>
      <c r="E12" s="20">
        <v>8442</v>
      </c>
      <c r="F12" s="21">
        <v>18</v>
      </c>
      <c r="G12" s="20">
        <v>0</v>
      </c>
      <c r="H12" s="44">
        <v>0</v>
      </c>
      <c r="I12" s="20">
        <v>2</v>
      </c>
      <c r="J12" s="20">
        <v>2</v>
      </c>
      <c r="K12" s="20">
        <v>64</v>
      </c>
      <c r="L12" s="20">
        <v>21</v>
      </c>
      <c r="M12" s="20">
        <v>22</v>
      </c>
      <c r="N12" s="20">
        <v>6</v>
      </c>
      <c r="O12" s="22">
        <f t="shared" si="2"/>
        <v>48260</v>
      </c>
      <c r="P12" s="23">
        <f t="shared" si="1"/>
        <v>4.593985363216133</v>
      </c>
      <c r="Q12" s="7">
        <f>237552-O12</f>
        <v>189292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21">
        <v>2</v>
      </c>
      <c r="D13" s="21">
        <v>2</v>
      </c>
      <c r="E13" s="21">
        <v>1</v>
      </c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1">
        <v>0</v>
      </c>
      <c r="L13" s="21">
        <v>0</v>
      </c>
      <c r="M13" s="20">
        <v>0</v>
      </c>
      <c r="N13" s="20">
        <v>0</v>
      </c>
      <c r="O13" s="22">
        <f t="shared" si="2"/>
        <v>5</v>
      </c>
      <c r="P13" s="23">
        <f t="shared" si="1"/>
        <v>0.00047596201442355287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20">
        <v>23527</v>
      </c>
      <c r="D14" s="20">
        <v>15379</v>
      </c>
      <c r="E14" s="20">
        <v>3573</v>
      </c>
      <c r="F14" s="21">
        <v>8</v>
      </c>
      <c r="G14" s="20">
        <v>0</v>
      </c>
      <c r="H14" s="44">
        <v>0</v>
      </c>
      <c r="I14" s="20">
        <v>1</v>
      </c>
      <c r="J14" s="20">
        <v>0</v>
      </c>
      <c r="K14" s="20">
        <v>6</v>
      </c>
      <c r="L14" s="21">
        <v>0</v>
      </c>
      <c r="M14" s="20">
        <v>4</v>
      </c>
      <c r="N14" s="20">
        <v>0</v>
      </c>
      <c r="O14" s="22">
        <f t="shared" si="2"/>
        <v>42498</v>
      </c>
      <c r="P14" s="23">
        <f t="shared" si="1"/>
        <v>4.04548673779443</v>
      </c>
      <c r="Q14" s="7">
        <f>192061-O14</f>
        <v>149563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20">
        <v>118</v>
      </c>
      <c r="D15" s="20">
        <v>68</v>
      </c>
      <c r="E15" s="20">
        <v>74</v>
      </c>
      <c r="F15" s="21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f t="shared" si="2"/>
        <v>260</v>
      </c>
      <c r="P15" s="23">
        <f t="shared" si="1"/>
        <v>0.02475002475002475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20">
        <f>972+1</f>
        <v>973</v>
      </c>
      <c r="D16" s="20">
        <v>145</v>
      </c>
      <c r="E16" s="20">
        <v>36</v>
      </c>
      <c r="F16" s="21">
        <v>0</v>
      </c>
      <c r="G16" s="20">
        <v>0</v>
      </c>
      <c r="H16" s="44">
        <v>0</v>
      </c>
      <c r="I16" s="20">
        <v>0</v>
      </c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f t="shared" si="2"/>
        <v>1154</v>
      </c>
      <c r="P16" s="23">
        <f t="shared" si="1"/>
        <v>0.109852032928956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20">
        <v>2</v>
      </c>
      <c r="D17" s="20">
        <v>0</v>
      </c>
      <c r="E17" s="20">
        <v>0</v>
      </c>
      <c r="F17" s="2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f t="shared" si="2"/>
        <v>2</v>
      </c>
      <c r="P17" s="23">
        <f t="shared" si="1"/>
        <v>0.00019038480576942114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20">
        <f>173+2+2</f>
        <v>177</v>
      </c>
      <c r="D18" s="48">
        <f>121+2+2</f>
        <v>125</v>
      </c>
      <c r="E18" s="21">
        <f>53+1+2</f>
        <v>56</v>
      </c>
      <c r="F18" s="21">
        <v>0</v>
      </c>
      <c r="G18" s="20">
        <v>0</v>
      </c>
      <c r="H18" s="44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f t="shared" si="2"/>
        <v>358</v>
      </c>
      <c r="P18" s="23">
        <f t="shared" si="1"/>
        <v>0.034078880232726386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20">
        <f>1525+12+3</f>
        <v>1540</v>
      </c>
      <c r="D19" s="20">
        <f>1287+1+3</f>
        <v>1291</v>
      </c>
      <c r="E19" s="21">
        <f>453+4</f>
        <v>457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f t="shared" si="2"/>
        <v>3288</v>
      </c>
      <c r="P19" s="23">
        <f t="shared" si="1"/>
        <v>0.3129926206849284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20">
        <v>3</v>
      </c>
      <c r="D20" s="20">
        <v>2</v>
      </c>
      <c r="E20" s="20">
        <v>0</v>
      </c>
      <c r="F20" s="21">
        <v>0</v>
      </c>
      <c r="G20" s="20">
        <v>0</v>
      </c>
      <c r="H20" s="44">
        <v>0</v>
      </c>
      <c r="I20" s="20">
        <v>0</v>
      </c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f t="shared" si="2"/>
        <v>5</v>
      </c>
      <c r="P20" s="23">
        <f t="shared" si="1"/>
        <v>0.00047596201442355287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20">
        <v>752</v>
      </c>
      <c r="D21" s="20">
        <v>626</v>
      </c>
      <c r="E21" s="21">
        <v>369</v>
      </c>
      <c r="F21" s="2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f t="shared" si="2"/>
        <v>1747</v>
      </c>
      <c r="P21" s="23">
        <f t="shared" si="1"/>
        <v>0.1663011278395894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20">
        <v>111515</v>
      </c>
      <c r="D22" s="20">
        <v>4376</v>
      </c>
      <c r="E22" s="20">
        <f>1270+1</f>
        <v>1271</v>
      </c>
      <c r="F22" s="21">
        <v>40</v>
      </c>
      <c r="G22" s="20">
        <v>0</v>
      </c>
      <c r="H22" s="44">
        <v>0</v>
      </c>
      <c r="I22" s="20">
        <v>2</v>
      </c>
      <c r="J22" s="20">
        <v>2</v>
      </c>
      <c r="K22" s="20">
        <v>0</v>
      </c>
      <c r="L22" s="21">
        <v>0</v>
      </c>
      <c r="M22" s="20">
        <v>0</v>
      </c>
      <c r="N22" s="20">
        <v>3</v>
      </c>
      <c r="O22" s="22">
        <f t="shared" si="2"/>
        <v>117209</v>
      </c>
      <c r="P22" s="23">
        <f t="shared" si="1"/>
        <v>11.157406349714043</v>
      </c>
      <c r="Q22" s="7">
        <f>1104824-O22</f>
        <v>987615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20">
        <v>0</v>
      </c>
      <c r="D23" s="20">
        <v>1</v>
      </c>
      <c r="E23" s="20">
        <v>0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f t="shared" si="2"/>
        <v>1</v>
      </c>
      <c r="P23" s="23">
        <f t="shared" si="1"/>
        <v>9.519240288471057E-05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20">
        <v>34</v>
      </c>
      <c r="D24" s="20">
        <v>14</v>
      </c>
      <c r="E24" s="20">
        <v>3</v>
      </c>
      <c r="F24" s="21">
        <v>0</v>
      </c>
      <c r="G24" s="20">
        <v>0</v>
      </c>
      <c r="H24" s="44">
        <v>0</v>
      </c>
      <c r="I24" s="20">
        <v>0</v>
      </c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f t="shared" si="2"/>
        <v>51</v>
      </c>
      <c r="P24" s="23">
        <f t="shared" si="1"/>
        <v>0.00485481254712024</v>
      </c>
      <c r="Q24" s="7"/>
      <c r="R24" s="4"/>
      <c r="S24" s="4"/>
      <c r="T24" s="4"/>
      <c r="U24" s="7"/>
    </row>
    <row r="25" spans="1:21" s="114" customFormat="1" ht="12.75" customHeight="1">
      <c r="A25" s="108">
        <v>20</v>
      </c>
      <c r="B25" s="109" t="s">
        <v>196</v>
      </c>
      <c r="C25" s="110">
        <v>11</v>
      </c>
      <c r="D25" s="110">
        <v>6</v>
      </c>
      <c r="E25" s="110">
        <v>0</v>
      </c>
      <c r="F25" s="111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112">
        <f t="shared" si="2"/>
        <v>17</v>
      </c>
      <c r="P25" s="113">
        <f t="shared" si="1"/>
        <v>0.00161827084904008</v>
      </c>
      <c r="R25" s="115"/>
      <c r="S25" s="115"/>
      <c r="T25" s="115"/>
      <c r="U25" s="116"/>
    </row>
    <row r="26" spans="1:21" ht="12.75" customHeight="1">
      <c r="A26" s="43">
        <v>21</v>
      </c>
      <c r="B26" s="19" t="s">
        <v>22</v>
      </c>
      <c r="C26" s="20">
        <v>7065</v>
      </c>
      <c r="D26" s="20">
        <v>6338</v>
      </c>
      <c r="E26" s="21">
        <v>3158</v>
      </c>
      <c r="F26" s="21">
        <v>0</v>
      </c>
      <c r="G26" s="20">
        <v>0</v>
      </c>
      <c r="H26" s="44">
        <v>0</v>
      </c>
      <c r="I26" s="20">
        <v>0</v>
      </c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f t="shared" si="2"/>
        <v>16561</v>
      </c>
      <c r="P26" s="23">
        <f t="shared" si="1"/>
        <v>1.5764813841736918</v>
      </c>
      <c r="Q26" s="7">
        <f>123096-O26</f>
        <v>106535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20">
        <v>7</v>
      </c>
      <c r="D27" s="20">
        <v>6</v>
      </c>
      <c r="E27" s="20">
        <v>2</v>
      </c>
      <c r="F27" s="21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f t="shared" si="2"/>
        <v>15</v>
      </c>
      <c r="P27" s="23">
        <f t="shared" si="1"/>
        <v>0.0014278860432706587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20">
        <v>918</v>
      </c>
      <c r="D28" s="20">
        <f>549+50+1</f>
        <v>600</v>
      </c>
      <c r="E28" s="20">
        <f>257+5</f>
        <v>262</v>
      </c>
      <c r="F28" s="21">
        <v>2</v>
      </c>
      <c r="G28" s="20">
        <v>0</v>
      </c>
      <c r="H28" s="44">
        <v>0</v>
      </c>
      <c r="I28" s="20">
        <v>0</v>
      </c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f t="shared" si="2"/>
        <v>1782</v>
      </c>
      <c r="P28" s="23">
        <f t="shared" si="1"/>
        <v>0.16963286194055424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20">
        <v>0</v>
      </c>
      <c r="D29" s="20">
        <v>0</v>
      </c>
      <c r="E29" s="20">
        <v>0</v>
      </c>
      <c r="F29" s="21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20">
        <v>6</v>
      </c>
      <c r="D30" s="20">
        <v>6</v>
      </c>
      <c r="E30" s="20">
        <v>1</v>
      </c>
      <c r="F30" s="21">
        <v>0</v>
      </c>
      <c r="G30" s="20">
        <v>0</v>
      </c>
      <c r="H30" s="44">
        <v>0</v>
      </c>
      <c r="I30" s="20">
        <v>0</v>
      </c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f t="shared" si="2"/>
        <v>13</v>
      </c>
      <c r="P30" s="23">
        <f t="shared" si="1"/>
        <v>0.0012375012375012377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20">
        <v>11544</v>
      </c>
      <c r="D31" s="20">
        <v>5979</v>
      </c>
      <c r="E31" s="20">
        <v>965</v>
      </c>
      <c r="F31" s="21">
        <v>3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f t="shared" si="2"/>
        <v>18491</v>
      </c>
      <c r="P31" s="23">
        <f t="shared" si="1"/>
        <v>1.7602027217411835</v>
      </c>
      <c r="Q31" s="7">
        <f>99650-O31</f>
        <v>81159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20">
        <v>1966</v>
      </c>
      <c r="D32" s="20">
        <v>1354</v>
      </c>
      <c r="E32" s="20">
        <v>511</v>
      </c>
      <c r="F32" s="21">
        <v>2</v>
      </c>
      <c r="G32" s="20">
        <v>0</v>
      </c>
      <c r="H32" s="44">
        <v>0</v>
      </c>
      <c r="I32" s="20">
        <v>0</v>
      </c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f t="shared" si="2"/>
        <v>3833</v>
      </c>
      <c r="P32" s="23">
        <f t="shared" si="1"/>
        <v>0.3648724802570957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61" t="s">
        <v>71</v>
      </c>
      <c r="C33" s="49">
        <v>8</v>
      </c>
      <c r="D33" s="49">
        <f>5+19+26</f>
        <v>50</v>
      </c>
      <c r="E33" s="49">
        <v>0</v>
      </c>
      <c r="F33" s="5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41">
        <f t="shared" si="2"/>
        <v>58</v>
      </c>
      <c r="P33" s="51">
        <f t="shared" si="1"/>
        <v>0.005521159367313214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44906</v>
      </c>
      <c r="D34" s="41">
        <f t="shared" si="3"/>
        <v>33209</v>
      </c>
      <c r="E34" s="41">
        <f t="shared" si="3"/>
        <v>14790</v>
      </c>
      <c r="F34" s="41">
        <f t="shared" si="3"/>
        <v>62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5</v>
      </c>
      <c r="J34" s="41">
        <f>SUM(J35:J43)</f>
        <v>0</v>
      </c>
      <c r="K34" s="41">
        <f t="shared" si="4"/>
        <v>8</v>
      </c>
      <c r="L34" s="41">
        <f t="shared" si="4"/>
        <v>31</v>
      </c>
      <c r="M34" s="41">
        <f t="shared" si="4"/>
        <v>4</v>
      </c>
      <c r="N34" s="41">
        <f t="shared" si="4"/>
        <v>9</v>
      </c>
      <c r="O34" s="41">
        <f t="shared" si="2"/>
        <v>93024</v>
      </c>
      <c r="P34" s="42">
        <f t="shared" si="1"/>
        <v>8.855178085947317</v>
      </c>
      <c r="R34" s="4"/>
      <c r="S34" s="4"/>
      <c r="T34" s="4"/>
      <c r="U34" s="7"/>
    </row>
    <row r="35" spans="1:21" ht="13.5" customHeight="1" thickTop="1">
      <c r="A35" s="43">
        <v>1</v>
      </c>
      <c r="B35" s="60" t="s">
        <v>140</v>
      </c>
      <c r="C35" s="44">
        <v>340</v>
      </c>
      <c r="D35" s="44">
        <v>236</v>
      </c>
      <c r="E35" s="44">
        <v>103</v>
      </c>
      <c r="F35" s="45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20">
        <v>0</v>
      </c>
      <c r="N35" s="20">
        <v>0</v>
      </c>
      <c r="O35" s="46">
        <f t="shared" si="2"/>
        <v>679</v>
      </c>
      <c r="P35" s="47">
        <f t="shared" si="1"/>
        <v>0.06463564155871848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20">
        <v>660</v>
      </c>
      <c r="D36" s="20">
        <f>456+4</f>
        <v>460</v>
      </c>
      <c r="E36" s="20">
        <v>84</v>
      </c>
      <c r="F36" s="21">
        <v>0</v>
      </c>
      <c r="G36" s="20">
        <v>0</v>
      </c>
      <c r="H36" s="44">
        <v>0</v>
      </c>
      <c r="I36" s="20">
        <v>0</v>
      </c>
      <c r="J36" s="20">
        <v>0</v>
      </c>
      <c r="K36" s="20">
        <v>0</v>
      </c>
      <c r="L36" s="44">
        <v>0</v>
      </c>
      <c r="M36" s="20">
        <v>0</v>
      </c>
      <c r="N36" s="20">
        <v>0</v>
      </c>
      <c r="O36" s="22">
        <f t="shared" si="2"/>
        <v>1204</v>
      </c>
      <c r="P36" s="23">
        <f t="shared" si="1"/>
        <v>0.11461165307319154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20">
        <v>104</v>
      </c>
      <c r="D37" s="20">
        <v>82</v>
      </c>
      <c r="E37" s="20">
        <v>20</v>
      </c>
      <c r="F37" s="21">
        <v>0</v>
      </c>
      <c r="G37" s="44">
        <v>0</v>
      </c>
      <c r="H37" s="44">
        <v>0</v>
      </c>
      <c r="I37" s="44">
        <v>0</v>
      </c>
      <c r="J37" s="44">
        <v>0</v>
      </c>
      <c r="K37" s="20">
        <v>0</v>
      </c>
      <c r="L37" s="44">
        <v>0</v>
      </c>
      <c r="M37" s="20">
        <v>0</v>
      </c>
      <c r="N37" s="20">
        <v>0</v>
      </c>
      <c r="O37" s="22">
        <f t="shared" si="2"/>
        <v>206</v>
      </c>
      <c r="P37" s="23">
        <f aca="true" t="shared" si="5" ref="P37:P68">O37/$O$196*100</f>
        <v>0.019609634994250377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20">
        <v>14653</v>
      </c>
      <c r="D38" s="20">
        <v>10650</v>
      </c>
      <c r="E38" s="20">
        <v>5620</v>
      </c>
      <c r="F38" s="21">
        <v>1</v>
      </c>
      <c r="G38" s="20">
        <v>0</v>
      </c>
      <c r="H38" s="44">
        <v>0</v>
      </c>
      <c r="I38" s="20">
        <v>0</v>
      </c>
      <c r="J38" s="20">
        <v>0</v>
      </c>
      <c r="K38" s="20">
        <v>0</v>
      </c>
      <c r="L38" s="44">
        <v>0</v>
      </c>
      <c r="M38" s="20">
        <v>0</v>
      </c>
      <c r="N38" s="20">
        <v>5</v>
      </c>
      <c r="O38" s="22">
        <f t="shared" si="2"/>
        <v>30929</v>
      </c>
      <c r="P38" s="23">
        <f t="shared" si="5"/>
        <v>2.9442058288212136</v>
      </c>
      <c r="Q38" s="7">
        <f>161740-O38</f>
        <v>130811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20">
        <f>3+827+76</f>
        <v>906</v>
      </c>
      <c r="D39" s="20">
        <f>7+455+80</f>
        <v>542</v>
      </c>
      <c r="E39" s="20">
        <f>288+72</f>
        <v>360</v>
      </c>
      <c r="F39" s="21">
        <v>1</v>
      </c>
      <c r="G39" s="44">
        <v>0</v>
      </c>
      <c r="H39" s="44">
        <v>0</v>
      </c>
      <c r="I39" s="44">
        <v>0</v>
      </c>
      <c r="J39" s="44">
        <v>0</v>
      </c>
      <c r="K39" s="20">
        <v>0</v>
      </c>
      <c r="L39" s="44">
        <v>0</v>
      </c>
      <c r="M39" s="20">
        <v>0</v>
      </c>
      <c r="N39" s="20">
        <v>0</v>
      </c>
      <c r="O39" s="22">
        <f t="shared" si="2"/>
        <v>1809</v>
      </c>
      <c r="P39" s="23">
        <f t="shared" si="5"/>
        <v>0.17220305681844142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20">
        <v>7409</v>
      </c>
      <c r="D40" s="20">
        <v>6290</v>
      </c>
      <c r="E40" s="20">
        <v>2560</v>
      </c>
      <c r="F40" s="21">
        <v>53</v>
      </c>
      <c r="G40" s="20">
        <v>0</v>
      </c>
      <c r="H40" s="44">
        <v>0</v>
      </c>
      <c r="I40" s="20">
        <v>5</v>
      </c>
      <c r="J40" s="20">
        <v>0</v>
      </c>
      <c r="K40" s="20">
        <v>5</v>
      </c>
      <c r="L40" s="20">
        <v>31</v>
      </c>
      <c r="M40" s="20">
        <v>0</v>
      </c>
      <c r="N40" s="20">
        <v>3</v>
      </c>
      <c r="O40" s="22">
        <f t="shared" si="2"/>
        <v>16356</v>
      </c>
      <c r="P40" s="23">
        <f t="shared" si="5"/>
        <v>1.5569669415823262</v>
      </c>
      <c r="Q40" s="7">
        <f>97917-O40</f>
        <v>81561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20">
        <v>11442</v>
      </c>
      <c r="D41" s="20">
        <v>6931</v>
      </c>
      <c r="E41" s="20">
        <v>4226</v>
      </c>
      <c r="F41" s="21">
        <v>1</v>
      </c>
      <c r="G41" s="44">
        <v>0</v>
      </c>
      <c r="H41" s="44">
        <v>0</v>
      </c>
      <c r="I41" s="44">
        <v>0</v>
      </c>
      <c r="J41" s="44">
        <v>0</v>
      </c>
      <c r="K41" s="20">
        <v>0</v>
      </c>
      <c r="L41" s="20">
        <v>0</v>
      </c>
      <c r="M41" s="20">
        <v>0</v>
      </c>
      <c r="N41" s="20">
        <v>0</v>
      </c>
      <c r="O41" s="22">
        <f t="shared" si="2"/>
        <v>22600</v>
      </c>
      <c r="P41" s="23">
        <f t="shared" si="5"/>
        <v>2.151348305194459</v>
      </c>
      <c r="Q41" s="7">
        <f>138017-O41</f>
        <v>115417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20">
        <f>3244+1+7</f>
        <v>3252</v>
      </c>
      <c r="D42" s="20">
        <f>3634+1+16+3</f>
        <v>3654</v>
      </c>
      <c r="E42" s="20">
        <v>1036</v>
      </c>
      <c r="F42" s="21">
        <v>6</v>
      </c>
      <c r="G42" s="20">
        <v>0</v>
      </c>
      <c r="H42" s="44">
        <v>0</v>
      </c>
      <c r="I42" s="20">
        <v>0</v>
      </c>
      <c r="J42" s="20">
        <v>0</v>
      </c>
      <c r="K42" s="20">
        <v>0</v>
      </c>
      <c r="L42" s="20">
        <v>0</v>
      </c>
      <c r="M42" s="20">
        <v>4</v>
      </c>
      <c r="N42" s="20">
        <v>1</v>
      </c>
      <c r="O42" s="22">
        <f t="shared" si="2"/>
        <v>7953</v>
      </c>
      <c r="P42" s="23">
        <f t="shared" si="5"/>
        <v>0.7570651801421032</v>
      </c>
      <c r="Q42" s="7">
        <f>55993-O42</f>
        <v>48040</v>
      </c>
      <c r="R42" s="4"/>
      <c r="S42" s="3"/>
      <c r="T42" s="4"/>
      <c r="U42" s="7"/>
    </row>
    <row r="43" spans="1:21" ht="13.5" customHeight="1" thickBot="1">
      <c r="A43" s="52">
        <v>9</v>
      </c>
      <c r="B43" s="95" t="s">
        <v>73</v>
      </c>
      <c r="C43" s="53">
        <v>6140</v>
      </c>
      <c r="D43" s="53">
        <v>4364</v>
      </c>
      <c r="E43" s="53">
        <v>781</v>
      </c>
      <c r="F43" s="54">
        <v>0</v>
      </c>
      <c r="G43" s="44">
        <v>0</v>
      </c>
      <c r="H43" s="44">
        <v>0</v>
      </c>
      <c r="I43" s="44">
        <v>0</v>
      </c>
      <c r="J43" s="44">
        <v>0</v>
      </c>
      <c r="K43" s="53">
        <v>3</v>
      </c>
      <c r="L43" s="53">
        <v>0</v>
      </c>
      <c r="M43" s="20">
        <v>0</v>
      </c>
      <c r="N43" s="20">
        <v>0</v>
      </c>
      <c r="O43" s="41">
        <f t="shared" si="2"/>
        <v>11288</v>
      </c>
      <c r="P43" s="55">
        <f t="shared" si="5"/>
        <v>1.074531843762613</v>
      </c>
      <c r="Q43" s="7"/>
      <c r="R43" s="4"/>
      <c r="S43" s="4"/>
      <c r="T43" s="4"/>
      <c r="U43" s="7"/>
    </row>
    <row r="44" spans="1:21" ht="14.25" thickBot="1" thickTop="1">
      <c r="A44" s="56" t="s">
        <v>27</v>
      </c>
      <c r="B44" s="57" t="s">
        <v>28</v>
      </c>
      <c r="C44" s="58">
        <f aca="true" t="shared" si="6" ref="C44:N44">SUM(C45:C82)</f>
        <v>5254</v>
      </c>
      <c r="D44" s="58">
        <f t="shared" si="6"/>
        <v>3386</v>
      </c>
      <c r="E44" s="58">
        <f t="shared" si="6"/>
        <v>1958</v>
      </c>
      <c r="F44" s="58">
        <f t="shared" si="6"/>
        <v>9</v>
      </c>
      <c r="G44" s="58">
        <f t="shared" si="6"/>
        <v>9</v>
      </c>
      <c r="H44" s="58">
        <f>SUM(H45:H82)</f>
        <v>0</v>
      </c>
      <c r="I44" s="58">
        <f t="shared" si="6"/>
        <v>1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3</v>
      </c>
      <c r="N44" s="58">
        <f t="shared" si="6"/>
        <v>0</v>
      </c>
      <c r="O44" s="41">
        <f t="shared" si="2"/>
        <v>10620</v>
      </c>
      <c r="P44" s="59">
        <f t="shared" si="5"/>
        <v>1.0109433186356263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60" t="s">
        <v>124</v>
      </c>
      <c r="C45" s="44">
        <v>239</v>
      </c>
      <c r="D45" s="44">
        <v>198</v>
      </c>
      <c r="E45" s="44">
        <v>96</v>
      </c>
      <c r="F45" s="45">
        <v>2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20">
        <v>0</v>
      </c>
      <c r="N45" s="20">
        <v>0</v>
      </c>
      <c r="O45" s="46">
        <f t="shared" si="2"/>
        <v>535</v>
      </c>
      <c r="P45" s="47">
        <f t="shared" si="5"/>
        <v>0.05092793554332016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20">
        <v>9</v>
      </c>
      <c r="D46" s="20">
        <v>13</v>
      </c>
      <c r="E46" s="20">
        <v>1</v>
      </c>
      <c r="F46" s="21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44">
        <v>0</v>
      </c>
      <c r="M46" s="20">
        <v>0</v>
      </c>
      <c r="N46" s="20">
        <v>0</v>
      </c>
      <c r="O46" s="22">
        <f t="shared" si="2"/>
        <v>23</v>
      </c>
      <c r="P46" s="23">
        <f t="shared" si="5"/>
        <v>0.002189425266348343</v>
      </c>
      <c r="R46" s="4"/>
      <c r="S46" s="4"/>
      <c r="T46" s="4"/>
      <c r="U46" s="7"/>
    </row>
    <row r="47" spans="1:21" ht="12.75" customHeight="1">
      <c r="A47" s="43">
        <v>3</v>
      </c>
      <c r="B47" s="96" t="s">
        <v>67</v>
      </c>
      <c r="C47" s="20">
        <v>3088</v>
      </c>
      <c r="D47" s="20">
        <f>1731+1+2+14+10</f>
        <v>1758</v>
      </c>
      <c r="E47" s="20">
        <v>1031</v>
      </c>
      <c r="F47" s="21">
        <v>2</v>
      </c>
      <c r="G47" s="20">
        <v>9</v>
      </c>
      <c r="H47" s="44">
        <v>0</v>
      </c>
      <c r="I47" s="44">
        <v>1</v>
      </c>
      <c r="J47" s="44">
        <v>0</v>
      </c>
      <c r="K47" s="44">
        <v>0</v>
      </c>
      <c r="L47" s="44">
        <v>0</v>
      </c>
      <c r="M47" s="20">
        <v>1</v>
      </c>
      <c r="N47" s="20">
        <v>0</v>
      </c>
      <c r="O47" s="22">
        <f t="shared" si="2"/>
        <v>5890</v>
      </c>
      <c r="P47" s="23">
        <f t="shared" si="5"/>
        <v>0.5606832529909453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20">
        <v>52</v>
      </c>
      <c r="D48" s="20">
        <f>20+1</f>
        <v>21</v>
      </c>
      <c r="E48" s="20">
        <v>22</v>
      </c>
      <c r="F48" s="21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44">
        <v>0</v>
      </c>
      <c r="M48" s="20">
        <v>0</v>
      </c>
      <c r="N48" s="20">
        <v>0</v>
      </c>
      <c r="O48" s="22">
        <f t="shared" si="2"/>
        <v>95</v>
      </c>
      <c r="P48" s="23">
        <f t="shared" si="5"/>
        <v>0.009043278274047505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20">
        <v>3</v>
      </c>
      <c r="D49" s="48">
        <v>1</v>
      </c>
      <c r="E49" s="20">
        <v>0</v>
      </c>
      <c r="F49" s="21">
        <v>0</v>
      </c>
      <c r="G49" s="20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20">
        <v>0</v>
      </c>
      <c r="N49" s="20">
        <v>0</v>
      </c>
      <c r="O49" s="22">
        <f t="shared" si="2"/>
        <v>4</v>
      </c>
      <c r="P49" s="23">
        <f t="shared" si="5"/>
        <v>0.0003807696115388423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20">
        <v>0</v>
      </c>
      <c r="D50" s="20">
        <v>2</v>
      </c>
      <c r="E50" s="20">
        <v>0</v>
      </c>
      <c r="F50" s="21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44">
        <v>0</v>
      </c>
      <c r="M50" s="20">
        <v>0</v>
      </c>
      <c r="N50" s="20">
        <v>0</v>
      </c>
      <c r="O50" s="22">
        <f t="shared" si="2"/>
        <v>2</v>
      </c>
      <c r="P50" s="23">
        <f t="shared" si="5"/>
        <v>0.00019038480576942114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20">
        <v>1</v>
      </c>
      <c r="D51" s="20">
        <v>0</v>
      </c>
      <c r="E51" s="20">
        <v>0</v>
      </c>
      <c r="F51" s="21">
        <v>0</v>
      </c>
      <c r="G51" s="20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20">
        <v>0</v>
      </c>
      <c r="N51" s="20">
        <v>0</v>
      </c>
      <c r="O51" s="22">
        <f t="shared" si="2"/>
        <v>1</v>
      </c>
      <c r="P51" s="23">
        <f t="shared" si="5"/>
        <v>9.519240288471057E-05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20">
        <v>3</v>
      </c>
      <c r="D52" s="20">
        <v>4</v>
      </c>
      <c r="E52" s="20">
        <v>4</v>
      </c>
      <c r="F52" s="21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44">
        <v>0</v>
      </c>
      <c r="M52" s="20">
        <v>0</v>
      </c>
      <c r="N52" s="20">
        <v>0</v>
      </c>
      <c r="O52" s="22">
        <f t="shared" si="2"/>
        <v>11</v>
      </c>
      <c r="P52" s="23">
        <f t="shared" si="5"/>
        <v>0.0010471164317318164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20">
        <v>25</v>
      </c>
      <c r="D53" s="20">
        <v>5</v>
      </c>
      <c r="E53" s="20">
        <v>4</v>
      </c>
      <c r="F53" s="21">
        <v>0</v>
      </c>
      <c r="G53" s="20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0">
        <v>0</v>
      </c>
      <c r="N53" s="20">
        <v>0</v>
      </c>
      <c r="O53" s="22">
        <f t="shared" si="2"/>
        <v>34</v>
      </c>
      <c r="P53" s="23">
        <f t="shared" si="5"/>
        <v>0.00323654169808016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20">
        <v>1</v>
      </c>
      <c r="D54" s="20">
        <f>1+1</f>
        <v>2</v>
      </c>
      <c r="E54" s="20">
        <v>1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44">
        <v>0</v>
      </c>
      <c r="M54" s="20">
        <v>0</v>
      </c>
      <c r="N54" s="20">
        <v>0</v>
      </c>
      <c r="O54" s="22">
        <f t="shared" si="2"/>
        <v>4</v>
      </c>
      <c r="P54" s="23">
        <f t="shared" si="5"/>
        <v>0.0003807696115388423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20">
        <v>3</v>
      </c>
      <c r="D55" s="20">
        <v>6</v>
      </c>
      <c r="E55" s="20">
        <v>1</v>
      </c>
      <c r="F55" s="21">
        <v>0</v>
      </c>
      <c r="G55" s="20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20">
        <v>0</v>
      </c>
      <c r="N55" s="20">
        <v>0</v>
      </c>
      <c r="O55" s="22">
        <f t="shared" si="2"/>
        <v>10</v>
      </c>
      <c r="P55" s="23">
        <f t="shared" si="5"/>
        <v>0.0009519240288471057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20">
        <v>23</v>
      </c>
      <c r="D56" s="20">
        <v>11</v>
      </c>
      <c r="E56" s="20">
        <v>8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44">
        <v>0</v>
      </c>
      <c r="M56" s="20">
        <v>0</v>
      </c>
      <c r="N56" s="20">
        <v>0</v>
      </c>
      <c r="O56" s="22">
        <f t="shared" si="2"/>
        <v>42</v>
      </c>
      <c r="P56" s="23">
        <f t="shared" si="5"/>
        <v>0.003998080921157844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20">
        <v>5</v>
      </c>
      <c r="D57" s="20">
        <v>7</v>
      </c>
      <c r="E57" s="20">
        <v>0</v>
      </c>
      <c r="F57" s="21">
        <v>0</v>
      </c>
      <c r="G57" s="20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20">
        <v>0</v>
      </c>
      <c r="N57" s="20">
        <v>0</v>
      </c>
      <c r="O57" s="22">
        <f t="shared" si="2"/>
        <v>12</v>
      </c>
      <c r="P57" s="23">
        <f t="shared" si="5"/>
        <v>0.0011423088346165268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20">
        <v>131</v>
      </c>
      <c r="D58" s="20">
        <v>49</v>
      </c>
      <c r="E58" s="20">
        <v>29</v>
      </c>
      <c r="F58" s="21">
        <v>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44">
        <v>0</v>
      </c>
      <c r="M58" s="20">
        <v>0</v>
      </c>
      <c r="N58" s="20">
        <v>0</v>
      </c>
      <c r="O58" s="22">
        <f t="shared" si="2"/>
        <v>211</v>
      </c>
      <c r="P58" s="23">
        <f t="shared" si="5"/>
        <v>0.020085597008673933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20">
        <v>1</v>
      </c>
      <c r="D59" s="20">
        <v>0</v>
      </c>
      <c r="E59" s="20">
        <v>0</v>
      </c>
      <c r="F59" s="21">
        <v>0</v>
      </c>
      <c r="G59" s="20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0">
        <v>0</v>
      </c>
      <c r="N59" s="20">
        <v>0</v>
      </c>
      <c r="O59" s="22">
        <f t="shared" si="2"/>
        <v>1</v>
      </c>
      <c r="P59" s="23">
        <f t="shared" si="5"/>
        <v>9.519240288471057E-05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20">
        <v>7</v>
      </c>
      <c r="D60" s="20">
        <v>5</v>
      </c>
      <c r="E60" s="20">
        <v>2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44">
        <v>0</v>
      </c>
      <c r="M60" s="20">
        <v>0</v>
      </c>
      <c r="N60" s="20">
        <v>0</v>
      </c>
      <c r="O60" s="22">
        <f t="shared" si="2"/>
        <v>14</v>
      </c>
      <c r="P60" s="23">
        <f t="shared" si="5"/>
        <v>0.001332693640385948</v>
      </c>
      <c r="R60" s="4"/>
      <c r="S60" s="4"/>
      <c r="T60" s="4"/>
      <c r="U60" s="7"/>
    </row>
    <row r="61" spans="1:21" ht="12.75" customHeight="1">
      <c r="A61" s="43">
        <v>17</v>
      </c>
      <c r="B61" s="117" t="s">
        <v>153</v>
      </c>
      <c r="C61" s="20">
        <v>6</v>
      </c>
      <c r="D61" s="20">
        <v>15</v>
      </c>
      <c r="E61" s="20">
        <v>4</v>
      </c>
      <c r="F61" s="21">
        <v>0</v>
      </c>
      <c r="G61" s="20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0">
        <v>0</v>
      </c>
      <c r="N61" s="20">
        <v>0</v>
      </c>
      <c r="O61" s="22">
        <f t="shared" si="2"/>
        <v>25</v>
      </c>
      <c r="P61" s="23">
        <f t="shared" si="5"/>
        <v>0.0023798100721177644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20">
        <v>149</v>
      </c>
      <c r="D62" s="20">
        <f>165+1+1+2</f>
        <v>169</v>
      </c>
      <c r="E62" s="20">
        <v>101</v>
      </c>
      <c r="F62" s="21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44">
        <v>0</v>
      </c>
      <c r="M62" s="20">
        <v>0</v>
      </c>
      <c r="N62" s="20">
        <v>0</v>
      </c>
      <c r="O62" s="22">
        <f t="shared" si="2"/>
        <v>419</v>
      </c>
      <c r="P62" s="23">
        <f t="shared" si="5"/>
        <v>0.039885616808693736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20">
        <v>7</v>
      </c>
      <c r="D63" s="20">
        <v>1</v>
      </c>
      <c r="E63" s="20">
        <v>1</v>
      </c>
      <c r="F63" s="21">
        <v>0</v>
      </c>
      <c r="G63" s="20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0">
        <v>0</v>
      </c>
      <c r="N63" s="20">
        <v>0</v>
      </c>
      <c r="O63" s="22">
        <f t="shared" si="2"/>
        <v>9</v>
      </c>
      <c r="P63" s="23">
        <f t="shared" si="5"/>
        <v>0.0008567316259623952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20">
        <f>272+2+1</f>
        <v>275</v>
      </c>
      <c r="D64" s="20">
        <f>142+8+2</f>
        <v>152</v>
      </c>
      <c r="E64" s="20">
        <f>47+2+1</f>
        <v>50</v>
      </c>
      <c r="F64" s="21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44">
        <v>0</v>
      </c>
      <c r="M64" s="20">
        <v>0</v>
      </c>
      <c r="N64" s="20">
        <v>0</v>
      </c>
      <c r="O64" s="22">
        <f t="shared" si="2"/>
        <v>477</v>
      </c>
      <c r="P64" s="23">
        <f t="shared" si="5"/>
        <v>0.04540677617600695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20">
        <v>16</v>
      </c>
      <c r="D65" s="20">
        <f>15+1</f>
        <v>16</v>
      </c>
      <c r="E65" s="20">
        <v>5</v>
      </c>
      <c r="F65" s="21">
        <v>0</v>
      </c>
      <c r="G65" s="20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20">
        <v>0</v>
      </c>
      <c r="N65" s="20">
        <v>0</v>
      </c>
      <c r="O65" s="22">
        <f t="shared" si="2"/>
        <v>37</v>
      </c>
      <c r="P65" s="23">
        <f t="shared" si="5"/>
        <v>0.0035221189067342912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20">
        <v>12</v>
      </c>
      <c r="D66" s="20">
        <v>7</v>
      </c>
      <c r="E66" s="20">
        <v>3</v>
      </c>
      <c r="F66" s="21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44">
        <v>0</v>
      </c>
      <c r="M66" s="20">
        <v>0</v>
      </c>
      <c r="N66" s="20">
        <v>0</v>
      </c>
      <c r="O66" s="22">
        <f t="shared" si="2"/>
        <v>22</v>
      </c>
      <c r="P66" s="23">
        <f t="shared" si="5"/>
        <v>0.0020942328634636328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20">
        <v>543</v>
      </c>
      <c r="D67" s="20">
        <v>438</v>
      </c>
      <c r="E67" s="20">
        <v>275</v>
      </c>
      <c r="F67" s="21">
        <v>0</v>
      </c>
      <c r="G67" s="20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20">
        <v>0</v>
      </c>
      <c r="N67" s="20">
        <v>0</v>
      </c>
      <c r="O67" s="22">
        <f t="shared" si="2"/>
        <v>1256</v>
      </c>
      <c r="P67" s="23">
        <f t="shared" si="5"/>
        <v>0.11956165802319649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20">
        <v>42</v>
      </c>
      <c r="D68" s="20">
        <v>21</v>
      </c>
      <c r="E68" s="20">
        <v>2</v>
      </c>
      <c r="F68" s="21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44">
        <v>0</v>
      </c>
      <c r="M68" s="20">
        <v>0</v>
      </c>
      <c r="N68" s="20">
        <v>0</v>
      </c>
      <c r="O68" s="22">
        <f t="shared" si="2"/>
        <v>65</v>
      </c>
      <c r="P68" s="23">
        <f t="shared" si="5"/>
        <v>0.006187506187506187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20">
        <v>60</v>
      </c>
      <c r="D69" s="20">
        <v>31</v>
      </c>
      <c r="E69" s="20">
        <v>15</v>
      </c>
      <c r="F69" s="21">
        <v>0</v>
      </c>
      <c r="G69" s="20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20">
        <v>1</v>
      </c>
      <c r="N69" s="20">
        <v>0</v>
      </c>
      <c r="O69" s="22">
        <f aca="true" t="shared" si="7" ref="O69:O130">SUM(C69:N69)</f>
        <v>107</v>
      </c>
      <c r="P69" s="23">
        <f aca="true" t="shared" si="8" ref="P69:P100">O69/$O$196*100</f>
        <v>0.010185587108664032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20">
        <v>9</v>
      </c>
      <c r="D70" s="20">
        <v>5</v>
      </c>
      <c r="E70" s="20">
        <v>2</v>
      </c>
      <c r="F70" s="21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44">
        <v>0</v>
      </c>
      <c r="M70" s="20">
        <v>0</v>
      </c>
      <c r="N70" s="20">
        <v>0</v>
      </c>
      <c r="O70" s="22">
        <f t="shared" si="7"/>
        <v>16</v>
      </c>
      <c r="P70" s="23">
        <f t="shared" si="8"/>
        <v>0.0015230784461553691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20">
        <v>14</v>
      </c>
      <c r="D71" s="20">
        <v>8</v>
      </c>
      <c r="E71" s="20">
        <v>1</v>
      </c>
      <c r="F71" s="21">
        <v>0</v>
      </c>
      <c r="G71" s="20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20">
        <v>0</v>
      </c>
      <c r="N71" s="20">
        <v>0</v>
      </c>
      <c r="O71" s="22">
        <f t="shared" si="7"/>
        <v>23</v>
      </c>
      <c r="P71" s="23">
        <f t="shared" si="8"/>
        <v>0.002189425266348343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20">
        <v>12</v>
      </c>
      <c r="D72" s="20">
        <v>15</v>
      </c>
      <c r="E72" s="20">
        <v>5</v>
      </c>
      <c r="F72" s="21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44">
        <v>0</v>
      </c>
      <c r="M72" s="20">
        <v>0</v>
      </c>
      <c r="N72" s="20">
        <v>0</v>
      </c>
      <c r="O72" s="22">
        <f t="shared" si="7"/>
        <v>32</v>
      </c>
      <c r="P72" s="23">
        <f t="shared" si="8"/>
        <v>0.0030461568923107383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20">
        <v>26</v>
      </c>
      <c r="D73" s="20">
        <v>18</v>
      </c>
      <c r="E73" s="20">
        <v>12</v>
      </c>
      <c r="F73" s="21">
        <v>1</v>
      </c>
      <c r="G73" s="20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20">
        <v>0</v>
      </c>
      <c r="N73" s="20">
        <v>0</v>
      </c>
      <c r="O73" s="22">
        <f t="shared" si="7"/>
        <v>57</v>
      </c>
      <c r="P73" s="23">
        <f t="shared" si="8"/>
        <v>0.005425966964428502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20">
        <v>0</v>
      </c>
      <c r="D74" s="20">
        <v>1</v>
      </c>
      <c r="E74" s="20">
        <v>1</v>
      </c>
      <c r="F74" s="21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44">
        <v>0</v>
      </c>
      <c r="M74" s="20">
        <v>0</v>
      </c>
      <c r="N74" s="20">
        <v>0</v>
      </c>
      <c r="O74" s="22">
        <f t="shared" si="7"/>
        <v>2</v>
      </c>
      <c r="P74" s="23">
        <f t="shared" si="8"/>
        <v>0.00019038480576942114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20">
        <v>4</v>
      </c>
      <c r="D75" s="20">
        <v>2</v>
      </c>
      <c r="E75" s="20">
        <v>3</v>
      </c>
      <c r="F75" s="21">
        <v>0</v>
      </c>
      <c r="G75" s="20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20">
        <v>0</v>
      </c>
      <c r="N75" s="20">
        <v>0</v>
      </c>
      <c r="O75" s="22">
        <f t="shared" si="7"/>
        <v>9</v>
      </c>
      <c r="P75" s="23">
        <f t="shared" si="8"/>
        <v>0.0008567316259623952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20">
        <v>7</v>
      </c>
      <c r="D76" s="20">
        <v>9</v>
      </c>
      <c r="E76" s="20">
        <v>6</v>
      </c>
      <c r="F76" s="21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44">
        <v>0</v>
      </c>
      <c r="M76" s="20">
        <v>0</v>
      </c>
      <c r="N76" s="20">
        <v>0</v>
      </c>
      <c r="O76" s="22">
        <f t="shared" si="7"/>
        <v>22</v>
      </c>
      <c r="P76" s="23">
        <f t="shared" si="8"/>
        <v>0.0020942328634636328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20">
        <v>63</v>
      </c>
      <c r="D77" s="20">
        <f>45+1</f>
        <v>46</v>
      </c>
      <c r="E77" s="20">
        <v>34</v>
      </c>
      <c r="F77" s="21">
        <v>0</v>
      </c>
      <c r="G77" s="20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20">
        <v>0</v>
      </c>
      <c r="N77" s="20">
        <v>0</v>
      </c>
      <c r="O77" s="22">
        <f t="shared" si="7"/>
        <v>143</v>
      </c>
      <c r="P77" s="23">
        <f t="shared" si="8"/>
        <v>0.013612513612513614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20">
        <v>215</v>
      </c>
      <c r="D78" s="20">
        <v>211</v>
      </c>
      <c r="E78" s="20">
        <v>156</v>
      </c>
      <c r="F78" s="21">
        <v>2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44">
        <v>0</v>
      </c>
      <c r="M78" s="20">
        <v>0</v>
      </c>
      <c r="N78" s="20">
        <v>0</v>
      </c>
      <c r="O78" s="22">
        <f t="shared" si="7"/>
        <v>584</v>
      </c>
      <c r="P78" s="23">
        <f t="shared" si="8"/>
        <v>0.05559236328467097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20">
        <v>49</v>
      </c>
      <c r="D79" s="20">
        <v>29</v>
      </c>
      <c r="E79" s="20">
        <v>20</v>
      </c>
      <c r="F79" s="21">
        <v>0</v>
      </c>
      <c r="G79" s="20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20">
        <v>0</v>
      </c>
      <c r="N79" s="20">
        <v>0</v>
      </c>
      <c r="O79" s="22">
        <f t="shared" si="7"/>
        <v>98</v>
      </c>
      <c r="P79" s="23">
        <f t="shared" si="8"/>
        <v>0.009328855482701636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20">
        <v>122</v>
      </c>
      <c r="D80" s="20">
        <f>82+6</f>
        <v>88</v>
      </c>
      <c r="E80" s="20">
        <v>54</v>
      </c>
      <c r="F80" s="21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44">
        <v>0</v>
      </c>
      <c r="M80" s="20">
        <v>0</v>
      </c>
      <c r="N80" s="20">
        <v>0</v>
      </c>
      <c r="O80" s="22">
        <f t="shared" si="7"/>
        <v>264</v>
      </c>
      <c r="P80" s="23">
        <f t="shared" si="8"/>
        <v>0.025130794361563593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20">
        <v>32</v>
      </c>
      <c r="D81" s="20">
        <v>22</v>
      </c>
      <c r="E81" s="20">
        <v>9</v>
      </c>
      <c r="F81" s="21">
        <v>0</v>
      </c>
      <c r="G81" s="20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20">
        <v>1</v>
      </c>
      <c r="N81" s="20">
        <v>0</v>
      </c>
      <c r="O81" s="22">
        <f t="shared" si="7"/>
        <v>64</v>
      </c>
      <c r="P81" s="23">
        <f t="shared" si="8"/>
        <v>0.0060923137846214765</v>
      </c>
      <c r="R81" s="4"/>
      <c r="S81" s="4"/>
      <c r="T81" s="4"/>
      <c r="U81" s="7"/>
    </row>
    <row r="82" spans="1:21" ht="12.75" customHeight="1" thickBot="1">
      <c r="A82" s="18">
        <v>38</v>
      </c>
      <c r="B82" s="61" t="s">
        <v>88</v>
      </c>
      <c r="C82" s="49">
        <v>0</v>
      </c>
      <c r="D82" s="49">
        <v>0</v>
      </c>
      <c r="E82" s="49">
        <v>0</v>
      </c>
      <c r="F82" s="5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44">
        <v>0</v>
      </c>
      <c r="M82" s="20">
        <v>0</v>
      </c>
      <c r="N82" s="20">
        <v>0</v>
      </c>
      <c r="O82" s="41">
        <f t="shared" si="7"/>
        <v>0</v>
      </c>
      <c r="P82" s="51">
        <f t="shared" si="8"/>
        <v>0</v>
      </c>
      <c r="R82" s="4"/>
      <c r="S82" s="4"/>
      <c r="T82" s="4"/>
      <c r="U82" s="7"/>
    </row>
    <row r="83" spans="1:21" ht="16.5" customHeight="1" thickBot="1" thickTop="1">
      <c r="A83" s="57" t="s">
        <v>29</v>
      </c>
      <c r="B83" s="57" t="s">
        <v>30</v>
      </c>
      <c r="C83" s="58">
        <f aca="true" t="shared" si="9" ref="C83:I83">SUM(C84:C117)</f>
        <v>33095</v>
      </c>
      <c r="D83" s="58">
        <f t="shared" si="9"/>
        <v>30289</v>
      </c>
      <c r="E83" s="58">
        <f t="shared" si="9"/>
        <v>13819</v>
      </c>
      <c r="F83" s="58">
        <f t="shared" si="9"/>
        <v>4</v>
      </c>
      <c r="G83" s="58">
        <f t="shared" si="9"/>
        <v>0</v>
      </c>
      <c r="H83" s="58">
        <f t="shared" si="9"/>
        <v>3</v>
      </c>
      <c r="I83" s="58">
        <f t="shared" si="9"/>
        <v>19</v>
      </c>
      <c r="J83" s="58">
        <f>SUM(J84:J117)</f>
        <v>0</v>
      </c>
      <c r="K83" s="58">
        <f>SUM(K84:K117)</f>
        <v>0</v>
      </c>
      <c r="L83" s="58">
        <f>SUM(L84:L117)</f>
        <v>0</v>
      </c>
      <c r="M83" s="58">
        <f>SUM(M84:M117)</f>
        <v>1</v>
      </c>
      <c r="N83" s="58">
        <f>SUM(N84:N117)</f>
        <v>1</v>
      </c>
      <c r="O83" s="41">
        <f t="shared" si="7"/>
        <v>77231</v>
      </c>
      <c r="P83" s="59">
        <f t="shared" si="8"/>
        <v>7.3518044671890825</v>
      </c>
      <c r="R83" s="4"/>
      <c r="S83" s="4"/>
      <c r="T83" s="4"/>
      <c r="U83" s="7"/>
    </row>
    <row r="84" spans="1:21" ht="16.5" customHeight="1" thickTop="1">
      <c r="A84" s="60">
        <v>1</v>
      </c>
      <c r="B84" s="19" t="s">
        <v>89</v>
      </c>
      <c r="C84" s="44">
        <v>1071</v>
      </c>
      <c r="D84" s="44">
        <f>944+1+10+5</f>
        <v>960</v>
      </c>
      <c r="E84" s="44">
        <v>591</v>
      </c>
      <c r="F84" s="45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0">
        <v>0</v>
      </c>
      <c r="N84" s="20">
        <v>0</v>
      </c>
      <c r="O84" s="46">
        <f t="shared" si="7"/>
        <v>2622</v>
      </c>
      <c r="P84" s="47">
        <f t="shared" si="8"/>
        <v>0.24959448036371112</v>
      </c>
      <c r="R84" s="4"/>
      <c r="S84" s="4"/>
      <c r="T84" s="4"/>
      <c r="U84" s="7"/>
    </row>
    <row r="85" spans="1:21" ht="16.5" customHeight="1">
      <c r="A85" s="19">
        <v>2</v>
      </c>
      <c r="B85" s="60" t="s">
        <v>90</v>
      </c>
      <c r="C85" s="20">
        <v>20411</v>
      </c>
      <c r="D85" s="20">
        <v>18294</v>
      </c>
      <c r="E85" s="20">
        <v>8217</v>
      </c>
      <c r="F85" s="45">
        <v>2</v>
      </c>
      <c r="G85" s="44">
        <v>0</v>
      </c>
      <c r="H85" s="44">
        <v>3</v>
      </c>
      <c r="I85" s="44">
        <v>8</v>
      </c>
      <c r="J85" s="44">
        <v>0</v>
      </c>
      <c r="K85" s="44">
        <v>0</v>
      </c>
      <c r="L85" s="44">
        <v>0</v>
      </c>
      <c r="M85" s="20">
        <v>0</v>
      </c>
      <c r="N85" s="20">
        <v>0</v>
      </c>
      <c r="O85" s="22">
        <f t="shared" si="7"/>
        <v>46935</v>
      </c>
      <c r="P85" s="47">
        <f t="shared" si="8"/>
        <v>4.467855429393891</v>
      </c>
      <c r="Q85" s="7">
        <f>251142-O85</f>
        <v>204207</v>
      </c>
      <c r="R85" s="4"/>
      <c r="S85" s="3"/>
      <c r="T85" s="4"/>
      <c r="U85" s="7"/>
    </row>
    <row r="86" spans="1:21" ht="16.5" customHeight="1">
      <c r="A86" s="60">
        <v>3</v>
      </c>
      <c r="B86" s="19" t="s">
        <v>127</v>
      </c>
      <c r="C86" s="20">
        <v>6</v>
      </c>
      <c r="D86" s="20">
        <v>2</v>
      </c>
      <c r="E86" s="20">
        <v>2</v>
      </c>
      <c r="F86" s="21">
        <v>0</v>
      </c>
      <c r="G86" s="20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20">
        <v>0</v>
      </c>
      <c r="N86" s="20">
        <v>0</v>
      </c>
      <c r="O86" s="22">
        <f t="shared" si="7"/>
        <v>10</v>
      </c>
      <c r="P86" s="23">
        <f t="shared" si="8"/>
        <v>0.0009519240288471057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20">
        <v>1934</v>
      </c>
      <c r="D87" s="20">
        <f>1363+1+1+1+4+7</f>
        <v>1377</v>
      </c>
      <c r="E87" s="20">
        <v>701</v>
      </c>
      <c r="F87" s="21">
        <v>1</v>
      </c>
      <c r="G87" s="20">
        <v>0</v>
      </c>
      <c r="H87" s="44">
        <v>0</v>
      </c>
      <c r="I87" s="44">
        <v>7</v>
      </c>
      <c r="J87" s="44">
        <v>0</v>
      </c>
      <c r="K87" s="44">
        <v>0</v>
      </c>
      <c r="L87" s="44">
        <v>0</v>
      </c>
      <c r="M87" s="20">
        <v>0</v>
      </c>
      <c r="N87" s="20">
        <v>1</v>
      </c>
      <c r="O87" s="22">
        <f t="shared" si="7"/>
        <v>4021</v>
      </c>
      <c r="P87" s="23">
        <f t="shared" si="8"/>
        <v>0.3827686519994212</v>
      </c>
      <c r="Q87" s="7"/>
      <c r="R87" s="4"/>
      <c r="S87" s="4"/>
      <c r="T87" s="4"/>
      <c r="U87" s="7"/>
    </row>
    <row r="88" spans="1:21" ht="16.5" customHeight="1">
      <c r="A88" s="60">
        <v>5</v>
      </c>
      <c r="B88" s="19" t="s">
        <v>92</v>
      </c>
      <c r="C88" s="20">
        <v>9</v>
      </c>
      <c r="D88" s="20">
        <f>5+1</f>
        <v>6</v>
      </c>
      <c r="E88" s="20">
        <v>1</v>
      </c>
      <c r="F88" s="21">
        <v>0</v>
      </c>
      <c r="G88" s="20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20">
        <v>0</v>
      </c>
      <c r="N88" s="20">
        <v>0</v>
      </c>
      <c r="O88" s="22">
        <f t="shared" si="7"/>
        <v>16</v>
      </c>
      <c r="P88" s="23">
        <f t="shared" si="8"/>
        <v>0.0015230784461553691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20">
        <v>13</v>
      </c>
      <c r="D89" s="20">
        <f>4+1</f>
        <v>5</v>
      </c>
      <c r="E89" s="20">
        <v>0</v>
      </c>
      <c r="F89" s="21">
        <v>0</v>
      </c>
      <c r="G89" s="20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20">
        <v>0</v>
      </c>
      <c r="N89" s="20">
        <v>0</v>
      </c>
      <c r="O89" s="22">
        <f t="shared" si="7"/>
        <v>18</v>
      </c>
      <c r="P89" s="23">
        <f t="shared" si="8"/>
        <v>0.0017134632519247904</v>
      </c>
      <c r="R89" s="4"/>
      <c r="S89" s="4"/>
      <c r="T89" s="4"/>
      <c r="U89" s="7"/>
    </row>
    <row r="90" spans="1:21" ht="16.5" customHeight="1">
      <c r="A90" s="60">
        <v>7</v>
      </c>
      <c r="B90" s="19" t="s">
        <v>138</v>
      </c>
      <c r="C90" s="20">
        <v>34</v>
      </c>
      <c r="D90" s="20">
        <v>21</v>
      </c>
      <c r="E90" s="20">
        <v>15</v>
      </c>
      <c r="F90" s="21">
        <v>0</v>
      </c>
      <c r="G90" s="20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20">
        <v>0</v>
      </c>
      <c r="N90" s="20">
        <v>0</v>
      </c>
      <c r="O90" s="22">
        <f t="shared" si="7"/>
        <v>70</v>
      </c>
      <c r="P90" s="23">
        <f t="shared" si="8"/>
        <v>0.00666346820192974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20">
        <v>74</v>
      </c>
      <c r="D91" s="20">
        <f>53+2</f>
        <v>55</v>
      </c>
      <c r="E91" s="20">
        <f>32+1+1</f>
        <v>34</v>
      </c>
      <c r="F91" s="21">
        <v>0</v>
      </c>
      <c r="G91" s="20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20">
        <v>0</v>
      </c>
      <c r="N91" s="20">
        <v>0</v>
      </c>
      <c r="O91" s="22">
        <f t="shared" si="7"/>
        <v>163</v>
      </c>
      <c r="P91" s="23">
        <f t="shared" si="8"/>
        <v>0.015516361670207823</v>
      </c>
      <c r="R91" s="4"/>
      <c r="S91" s="4"/>
      <c r="T91" s="4"/>
      <c r="U91" s="7"/>
    </row>
    <row r="92" spans="1:21" ht="16.5" customHeight="1">
      <c r="A92" s="60">
        <v>9</v>
      </c>
      <c r="B92" s="19" t="s">
        <v>155</v>
      </c>
      <c r="C92" s="20">
        <v>42</v>
      </c>
      <c r="D92" s="20">
        <v>17</v>
      </c>
      <c r="E92" s="20">
        <v>35</v>
      </c>
      <c r="F92" s="21">
        <v>0</v>
      </c>
      <c r="G92" s="20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20">
        <v>0</v>
      </c>
      <c r="N92" s="20">
        <v>0</v>
      </c>
      <c r="O92" s="22">
        <f t="shared" si="7"/>
        <v>94</v>
      </c>
      <c r="P92" s="23">
        <f t="shared" si="8"/>
        <v>0.008948085871162794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20">
        <v>747</v>
      </c>
      <c r="D93" s="20">
        <f>1097+1+1+2+1-302</f>
        <v>800</v>
      </c>
      <c r="E93" s="20">
        <f>442+1</f>
        <v>443</v>
      </c>
      <c r="F93" s="21">
        <v>0</v>
      </c>
      <c r="G93" s="20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20">
        <v>0</v>
      </c>
      <c r="N93" s="20">
        <v>0</v>
      </c>
      <c r="O93" s="22">
        <f t="shared" si="7"/>
        <v>1990</v>
      </c>
      <c r="P93" s="23">
        <f t="shared" si="8"/>
        <v>0.18943288174057404</v>
      </c>
      <c r="R93" s="4"/>
      <c r="S93" s="4"/>
      <c r="T93" s="4"/>
      <c r="U93" s="7"/>
    </row>
    <row r="94" spans="1:21" ht="16.5" customHeight="1">
      <c r="A94" s="60">
        <v>11</v>
      </c>
      <c r="B94" s="19" t="s">
        <v>205</v>
      </c>
      <c r="C94" s="20">
        <v>10</v>
      </c>
      <c r="D94" s="20">
        <f>8+2</f>
        <v>10</v>
      </c>
      <c r="E94" s="20">
        <v>2</v>
      </c>
      <c r="F94" s="21">
        <v>0</v>
      </c>
      <c r="G94" s="20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20">
        <v>0</v>
      </c>
      <c r="N94" s="20">
        <v>0</v>
      </c>
      <c r="O94" s="22">
        <f t="shared" si="7"/>
        <v>22</v>
      </c>
      <c r="P94" s="23">
        <f t="shared" si="8"/>
        <v>0.0020942328634636328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20">
        <v>25</v>
      </c>
      <c r="D95" s="20">
        <v>21</v>
      </c>
      <c r="E95" s="20">
        <v>4</v>
      </c>
      <c r="F95" s="21">
        <v>0</v>
      </c>
      <c r="G95" s="20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20">
        <v>0</v>
      </c>
      <c r="N95" s="20">
        <v>0</v>
      </c>
      <c r="O95" s="22">
        <f t="shared" si="7"/>
        <v>50</v>
      </c>
      <c r="P95" s="23">
        <f t="shared" si="8"/>
        <v>0.004759620144235529</v>
      </c>
      <c r="R95" s="4"/>
      <c r="S95" s="4"/>
      <c r="T95" s="4"/>
      <c r="U95" s="7"/>
    </row>
    <row r="96" spans="1:21" ht="16.5" customHeight="1">
      <c r="A96" s="60">
        <v>13</v>
      </c>
      <c r="B96" s="19" t="s">
        <v>160</v>
      </c>
      <c r="C96" s="20">
        <f>26+3</f>
        <v>29</v>
      </c>
      <c r="D96" s="20">
        <v>17</v>
      </c>
      <c r="E96" s="20">
        <f>9+1</f>
        <v>10</v>
      </c>
      <c r="F96" s="21">
        <v>0</v>
      </c>
      <c r="G96" s="20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20">
        <v>0</v>
      </c>
      <c r="N96" s="20">
        <v>0</v>
      </c>
      <c r="O96" s="22">
        <f t="shared" si="7"/>
        <v>56</v>
      </c>
      <c r="P96" s="23">
        <f t="shared" si="8"/>
        <v>0.005330774561543792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20">
        <v>100</v>
      </c>
      <c r="D97" s="20">
        <v>63</v>
      </c>
      <c r="E97" s="20">
        <v>28</v>
      </c>
      <c r="F97" s="21">
        <v>0</v>
      </c>
      <c r="G97" s="20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20">
        <v>0</v>
      </c>
      <c r="N97" s="20">
        <v>0</v>
      </c>
      <c r="O97" s="22">
        <f t="shared" si="7"/>
        <v>191</v>
      </c>
      <c r="P97" s="23">
        <f t="shared" si="8"/>
        <v>0.01818174895097972</v>
      </c>
      <c r="R97" s="4"/>
      <c r="S97" s="4"/>
      <c r="T97" s="4"/>
      <c r="U97" s="7"/>
    </row>
    <row r="98" spans="1:21" ht="16.5" customHeight="1">
      <c r="A98" s="60">
        <v>15</v>
      </c>
      <c r="B98" s="19" t="s">
        <v>169</v>
      </c>
      <c r="C98" s="20">
        <f>19+7</f>
        <v>26</v>
      </c>
      <c r="D98" s="20">
        <v>16</v>
      </c>
      <c r="E98" s="20">
        <v>6</v>
      </c>
      <c r="F98" s="21">
        <v>0</v>
      </c>
      <c r="G98" s="20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20">
        <v>0</v>
      </c>
      <c r="N98" s="20">
        <v>0</v>
      </c>
      <c r="O98" s="22">
        <f t="shared" si="7"/>
        <v>48</v>
      </c>
      <c r="P98" s="23">
        <f t="shared" si="8"/>
        <v>0.004569235338466107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20">
        <v>5</v>
      </c>
      <c r="D99" s="20">
        <v>3</v>
      </c>
      <c r="E99" s="20">
        <v>3</v>
      </c>
      <c r="F99" s="21">
        <v>0</v>
      </c>
      <c r="G99" s="20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20">
        <v>0</v>
      </c>
      <c r="N99" s="20">
        <v>0</v>
      </c>
      <c r="O99" s="22">
        <f t="shared" si="7"/>
        <v>11</v>
      </c>
      <c r="P99" s="23">
        <f t="shared" si="8"/>
        <v>0.0010471164317318164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20">
        <f>25+7+2</f>
        <v>34</v>
      </c>
      <c r="D100" s="20">
        <f>20+9</f>
        <v>29</v>
      </c>
      <c r="E100" s="20">
        <f>4+3</f>
        <v>7</v>
      </c>
      <c r="F100" s="21">
        <v>0</v>
      </c>
      <c r="G100" s="20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20">
        <v>0</v>
      </c>
      <c r="N100" s="20">
        <v>0</v>
      </c>
      <c r="O100" s="22">
        <f t="shared" si="7"/>
        <v>70</v>
      </c>
      <c r="P100" s="23">
        <f t="shared" si="8"/>
        <v>0.00666346820192974</v>
      </c>
      <c r="R100" s="4"/>
      <c r="S100" s="4"/>
      <c r="T100" s="4"/>
      <c r="U100" s="7"/>
    </row>
    <row r="101" spans="1:21" ht="16.5" customHeight="1">
      <c r="A101" s="60">
        <v>18</v>
      </c>
      <c r="B101" s="19" t="s">
        <v>171</v>
      </c>
      <c r="C101" s="20">
        <v>8</v>
      </c>
      <c r="D101" s="20">
        <v>4</v>
      </c>
      <c r="E101" s="20">
        <v>2</v>
      </c>
      <c r="F101" s="21">
        <v>0</v>
      </c>
      <c r="G101" s="20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20">
        <v>0</v>
      </c>
      <c r="N101" s="20">
        <v>0</v>
      </c>
      <c r="O101" s="22">
        <f t="shared" si="7"/>
        <v>14</v>
      </c>
      <c r="P101" s="23">
        <f aca="true" t="shared" si="10" ref="P101:P132">O101/$O$196*100</f>
        <v>0.001332693640385948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20">
        <v>6679</v>
      </c>
      <c r="D102" s="20">
        <v>6914</v>
      </c>
      <c r="E102" s="20">
        <v>2772</v>
      </c>
      <c r="F102" s="21">
        <v>0</v>
      </c>
      <c r="G102" s="20">
        <v>0</v>
      </c>
      <c r="H102" s="44">
        <v>0</v>
      </c>
      <c r="I102" s="44">
        <v>4</v>
      </c>
      <c r="J102" s="44">
        <v>0</v>
      </c>
      <c r="K102" s="44">
        <v>0</v>
      </c>
      <c r="L102" s="44">
        <v>0</v>
      </c>
      <c r="M102" s="20">
        <v>0</v>
      </c>
      <c r="N102" s="20">
        <v>0</v>
      </c>
      <c r="O102" s="22">
        <f t="shared" si="7"/>
        <v>16369</v>
      </c>
      <c r="P102" s="23">
        <f t="shared" si="10"/>
        <v>1.5582044428198276</v>
      </c>
      <c r="Q102" s="7">
        <f>66594-O102</f>
        <v>50225</v>
      </c>
      <c r="R102" s="4"/>
      <c r="S102" s="4"/>
      <c r="T102" s="4"/>
      <c r="U102" s="7"/>
    </row>
    <row r="103" spans="1:21" ht="16.5" customHeight="1">
      <c r="A103" s="60">
        <v>20</v>
      </c>
      <c r="B103" s="19" t="s">
        <v>149</v>
      </c>
      <c r="C103" s="20">
        <f>520+1</f>
        <v>521</v>
      </c>
      <c r="D103" s="20">
        <f>380+4+4+3+2</f>
        <v>393</v>
      </c>
      <c r="E103" s="20">
        <f>256+1</f>
        <v>257</v>
      </c>
      <c r="F103" s="21">
        <v>1</v>
      </c>
      <c r="G103" s="20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20">
        <v>0</v>
      </c>
      <c r="N103" s="20">
        <v>0</v>
      </c>
      <c r="O103" s="22">
        <f t="shared" si="7"/>
        <v>1172</v>
      </c>
      <c r="P103" s="23">
        <f t="shared" si="10"/>
        <v>0.1115654961808808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20">
        <v>0</v>
      </c>
      <c r="D104" s="20">
        <v>0</v>
      </c>
      <c r="E104" s="20">
        <v>0</v>
      </c>
      <c r="F104" s="21">
        <v>0</v>
      </c>
      <c r="G104" s="20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20">
        <v>0</v>
      </c>
      <c r="N104" s="20">
        <v>0</v>
      </c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60">
        <v>22</v>
      </c>
      <c r="B105" s="19" t="s">
        <v>62</v>
      </c>
      <c r="C105" s="20">
        <v>771</v>
      </c>
      <c r="D105" s="20">
        <f>669+3+4</f>
        <v>676</v>
      </c>
      <c r="E105" s="20">
        <f>317+1+1</f>
        <v>319</v>
      </c>
      <c r="F105" s="21">
        <v>0</v>
      </c>
      <c r="G105" s="20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20">
        <v>0</v>
      </c>
      <c r="N105" s="20">
        <v>0</v>
      </c>
      <c r="O105" s="22">
        <f t="shared" si="7"/>
        <v>1766</v>
      </c>
      <c r="P105" s="23">
        <f t="shared" si="10"/>
        <v>0.1681097834943989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20">
        <f>7+8+1</f>
        <v>16</v>
      </c>
      <c r="D106" s="20">
        <f>6+1</f>
        <v>7</v>
      </c>
      <c r="E106" s="20">
        <v>3</v>
      </c>
      <c r="F106" s="21">
        <v>0</v>
      </c>
      <c r="G106" s="20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20">
        <v>0</v>
      </c>
      <c r="N106" s="20">
        <v>0</v>
      </c>
      <c r="O106" s="22">
        <f t="shared" si="7"/>
        <v>26</v>
      </c>
      <c r="P106" s="23">
        <f t="shared" si="10"/>
        <v>0.0024750024750024753</v>
      </c>
      <c r="R106" s="4"/>
      <c r="S106" s="4"/>
      <c r="T106" s="4"/>
      <c r="U106" s="7"/>
    </row>
    <row r="107" spans="1:21" ht="16.5" customHeight="1">
      <c r="A107" s="60">
        <v>24</v>
      </c>
      <c r="B107" s="19" t="s">
        <v>191</v>
      </c>
      <c r="C107" s="20">
        <f>42+5+2</f>
        <v>49</v>
      </c>
      <c r="D107" s="20">
        <f>21+3</f>
        <v>24</v>
      </c>
      <c r="E107" s="20">
        <v>13</v>
      </c>
      <c r="F107" s="21">
        <v>0</v>
      </c>
      <c r="G107" s="20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20">
        <v>0</v>
      </c>
      <c r="N107" s="20">
        <v>0</v>
      </c>
      <c r="O107" s="22">
        <f t="shared" si="7"/>
        <v>86</v>
      </c>
      <c r="P107" s="23">
        <f t="shared" si="10"/>
        <v>0.00818654664808511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20">
        <v>21</v>
      </c>
      <c r="D108" s="20">
        <v>14</v>
      </c>
      <c r="E108" s="20">
        <v>11</v>
      </c>
      <c r="F108" s="21">
        <v>0</v>
      </c>
      <c r="G108" s="20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20">
        <v>1</v>
      </c>
      <c r="N108" s="20">
        <v>0</v>
      </c>
      <c r="O108" s="22">
        <f t="shared" si="7"/>
        <v>47</v>
      </c>
      <c r="P108" s="23">
        <f t="shared" si="10"/>
        <v>0.004474042935581397</v>
      </c>
      <c r="R108" s="4"/>
      <c r="S108" s="4"/>
      <c r="T108" s="4"/>
      <c r="U108" s="7"/>
    </row>
    <row r="109" spans="1:21" ht="16.5" customHeight="1">
      <c r="A109" s="60">
        <v>26</v>
      </c>
      <c r="B109" s="19" t="s">
        <v>64</v>
      </c>
      <c r="C109" s="20">
        <f>179+5</f>
        <v>184</v>
      </c>
      <c r="D109" s="20">
        <f>178+1+3</f>
        <v>182</v>
      </c>
      <c r="E109" s="20">
        <f>80+5+1</f>
        <v>86</v>
      </c>
      <c r="F109" s="21">
        <v>0</v>
      </c>
      <c r="G109" s="20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20">
        <v>0</v>
      </c>
      <c r="N109" s="20">
        <v>0</v>
      </c>
      <c r="O109" s="22">
        <f t="shared" si="7"/>
        <v>452</v>
      </c>
      <c r="P109" s="23">
        <f t="shared" si="10"/>
        <v>0.04302696610388918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20">
        <v>8</v>
      </c>
      <c r="D110" s="20">
        <v>5</v>
      </c>
      <c r="E110" s="20">
        <v>6</v>
      </c>
      <c r="F110" s="21">
        <v>0</v>
      </c>
      <c r="G110" s="20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20">
        <v>0</v>
      </c>
      <c r="N110" s="20">
        <v>0</v>
      </c>
      <c r="O110" s="22">
        <f t="shared" si="7"/>
        <v>19</v>
      </c>
      <c r="P110" s="23">
        <f t="shared" si="10"/>
        <v>0.001808655654809501</v>
      </c>
      <c r="R110" s="4"/>
      <c r="S110" s="4"/>
      <c r="T110" s="4"/>
      <c r="U110" s="7"/>
    </row>
    <row r="111" spans="1:21" ht="16.5" customHeight="1">
      <c r="A111" s="60">
        <v>28</v>
      </c>
      <c r="B111" s="19" t="s">
        <v>213</v>
      </c>
      <c r="C111" s="20">
        <v>13</v>
      </c>
      <c r="D111" s="20">
        <v>5</v>
      </c>
      <c r="E111" s="20">
        <v>5</v>
      </c>
      <c r="F111" s="21">
        <v>0</v>
      </c>
      <c r="G111" s="20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20">
        <v>0</v>
      </c>
      <c r="N111" s="20">
        <v>0</v>
      </c>
      <c r="O111" s="22">
        <f t="shared" si="7"/>
        <v>23</v>
      </c>
      <c r="P111" s="23">
        <f t="shared" si="10"/>
        <v>0.002189425266348343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20">
        <v>3</v>
      </c>
      <c r="D112" s="20">
        <v>7</v>
      </c>
      <c r="E112" s="20">
        <v>0</v>
      </c>
      <c r="F112" s="21">
        <v>0</v>
      </c>
      <c r="G112" s="20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20">
        <v>0</v>
      </c>
      <c r="N112" s="20">
        <v>0</v>
      </c>
      <c r="O112" s="22">
        <f t="shared" si="7"/>
        <v>10</v>
      </c>
      <c r="P112" s="23">
        <f t="shared" si="10"/>
        <v>0.0009519240288471057</v>
      </c>
      <c r="R112" s="4"/>
      <c r="S112" s="4"/>
      <c r="T112" s="4"/>
      <c r="U112" s="7"/>
    </row>
    <row r="113" spans="1:21" ht="16.5" customHeight="1">
      <c r="A113" s="60">
        <v>30</v>
      </c>
      <c r="B113" s="19" t="s">
        <v>32</v>
      </c>
      <c r="C113" s="20">
        <v>0</v>
      </c>
      <c r="D113" s="20">
        <v>0</v>
      </c>
      <c r="E113" s="20">
        <v>0</v>
      </c>
      <c r="F113" s="21">
        <v>0</v>
      </c>
      <c r="G113" s="20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20">
        <v>0</v>
      </c>
      <c r="N113" s="20">
        <v>0</v>
      </c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20">
        <v>19</v>
      </c>
      <c r="D114" s="20">
        <f>22+3+3</f>
        <v>28</v>
      </c>
      <c r="E114" s="20">
        <v>15</v>
      </c>
      <c r="F114" s="21">
        <v>0</v>
      </c>
      <c r="G114" s="20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20">
        <v>0</v>
      </c>
      <c r="N114" s="20">
        <v>0</v>
      </c>
      <c r="O114" s="22">
        <f t="shared" si="7"/>
        <v>62</v>
      </c>
      <c r="P114" s="23">
        <f t="shared" si="10"/>
        <v>0.005901928978852056</v>
      </c>
      <c r="R114" s="4"/>
      <c r="S114" s="5"/>
      <c r="T114" s="4"/>
      <c r="U114" s="7"/>
    </row>
    <row r="115" spans="1:21" ht="16.5" customHeight="1">
      <c r="A115" s="60">
        <v>32</v>
      </c>
      <c r="B115" s="19" t="s">
        <v>94</v>
      </c>
      <c r="C115" s="20">
        <f>95+1</f>
        <v>96</v>
      </c>
      <c r="D115" s="20">
        <v>207</v>
      </c>
      <c r="E115" s="20">
        <v>176</v>
      </c>
      <c r="F115" s="21">
        <v>0</v>
      </c>
      <c r="G115" s="20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20">
        <v>0</v>
      </c>
      <c r="N115" s="20">
        <v>0</v>
      </c>
      <c r="O115" s="22">
        <f t="shared" si="7"/>
        <v>479</v>
      </c>
      <c r="P115" s="23">
        <f t="shared" si="10"/>
        <v>0.045597160981776366</v>
      </c>
      <c r="R115" s="4"/>
      <c r="S115" s="4"/>
      <c r="T115" s="4"/>
      <c r="U115" s="7"/>
    </row>
    <row r="116" spans="1:21" ht="16.5" customHeight="1">
      <c r="A116" s="19">
        <v>33</v>
      </c>
      <c r="B116" s="96" t="s">
        <v>201</v>
      </c>
      <c r="C116" s="20">
        <v>85</v>
      </c>
      <c r="D116" s="20">
        <f>78+1+1</f>
        <v>80</v>
      </c>
      <c r="E116" s="20">
        <f>41+1</f>
        <v>42</v>
      </c>
      <c r="F116" s="21">
        <v>0</v>
      </c>
      <c r="G116" s="20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20">
        <v>0</v>
      </c>
      <c r="N116" s="20">
        <v>0</v>
      </c>
      <c r="O116" s="22">
        <f t="shared" si="7"/>
        <v>207</v>
      </c>
      <c r="P116" s="23">
        <f t="shared" si="10"/>
        <v>0.01970482739713509</v>
      </c>
      <c r="R116" s="4"/>
      <c r="S116" s="4"/>
      <c r="T116" s="4"/>
      <c r="U116" s="7"/>
    </row>
    <row r="117" spans="1:21" ht="16.5" customHeight="1" thickBot="1">
      <c r="A117" s="60">
        <v>34</v>
      </c>
      <c r="B117" s="61" t="s">
        <v>95</v>
      </c>
      <c r="C117" s="49">
        <v>52</v>
      </c>
      <c r="D117" s="49">
        <f>37+6+4</f>
        <v>47</v>
      </c>
      <c r="E117" s="49">
        <v>13</v>
      </c>
      <c r="F117" s="50">
        <v>0</v>
      </c>
      <c r="G117" s="20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20">
        <v>0</v>
      </c>
      <c r="N117" s="20">
        <v>0</v>
      </c>
      <c r="O117" s="41">
        <f t="shared" si="7"/>
        <v>112</v>
      </c>
      <c r="P117" s="51">
        <f t="shared" si="10"/>
        <v>0.010661549123087585</v>
      </c>
      <c r="R117" s="4"/>
      <c r="S117" s="4"/>
      <c r="T117" s="4"/>
      <c r="U117" s="7"/>
    </row>
    <row r="118" spans="1:21" ht="14.25" thickBot="1" thickTop="1">
      <c r="A118" s="57" t="s">
        <v>33</v>
      </c>
      <c r="B118" s="57" t="s">
        <v>34</v>
      </c>
      <c r="C118" s="58">
        <f aca="true" t="shared" si="11" ref="C118:I118">SUM(C119:C171)</f>
        <v>122622</v>
      </c>
      <c r="D118" s="58">
        <f>SUM(D119:D171)</f>
        <v>119066</v>
      </c>
      <c r="E118" s="58">
        <f t="shared" si="11"/>
        <v>59428</v>
      </c>
      <c r="F118" s="58">
        <f t="shared" si="11"/>
        <v>80</v>
      </c>
      <c r="G118" s="58">
        <f t="shared" si="11"/>
        <v>19</v>
      </c>
      <c r="H118" s="58">
        <f t="shared" si="11"/>
        <v>26</v>
      </c>
      <c r="I118" s="58">
        <f t="shared" si="11"/>
        <v>10</v>
      </c>
      <c r="J118" s="58">
        <f>SUM(J119:J171)</f>
        <v>11</v>
      </c>
      <c r="K118" s="58">
        <f>SUM(K119:K171)</f>
        <v>0</v>
      </c>
      <c r="L118" s="58">
        <f>SUM(L119:L171)</f>
        <v>6</v>
      </c>
      <c r="M118" s="58">
        <f>SUM(M119:M171)</f>
        <v>16</v>
      </c>
      <c r="N118" s="58">
        <f>SUM(N119:N171)</f>
        <v>26</v>
      </c>
      <c r="O118" s="41">
        <f>SUM(C118:N118)</f>
        <v>301310</v>
      </c>
      <c r="P118" s="59">
        <f t="shared" si="10"/>
        <v>28.682422913192145</v>
      </c>
      <c r="R118" s="4"/>
      <c r="S118" s="4"/>
      <c r="T118" s="4"/>
      <c r="U118" s="7"/>
    </row>
    <row r="119" spans="1:21" ht="13.5" thickTop="1">
      <c r="A119" s="62">
        <v>1</v>
      </c>
      <c r="B119" s="62" t="s">
        <v>129</v>
      </c>
      <c r="C119" s="63">
        <v>1205</v>
      </c>
      <c r="D119" s="63">
        <f>1243+19+17+2+6</f>
        <v>1287</v>
      </c>
      <c r="E119" s="63">
        <f>430+2</f>
        <v>432</v>
      </c>
      <c r="F119" s="64">
        <v>0</v>
      </c>
      <c r="G119" s="63">
        <v>0</v>
      </c>
      <c r="H119" s="63">
        <v>0</v>
      </c>
      <c r="I119" s="63">
        <v>0</v>
      </c>
      <c r="J119" s="63">
        <v>3</v>
      </c>
      <c r="K119" s="63">
        <v>0</v>
      </c>
      <c r="L119" s="63">
        <v>0</v>
      </c>
      <c r="M119" s="63">
        <v>1</v>
      </c>
      <c r="N119" s="20">
        <v>0</v>
      </c>
      <c r="O119" s="65">
        <f t="shared" si="7"/>
        <v>2928</v>
      </c>
      <c r="P119" s="66">
        <f t="shared" si="10"/>
        <v>0.2787233556464326</v>
      </c>
      <c r="R119" s="4"/>
      <c r="S119" s="4"/>
      <c r="T119" s="4"/>
      <c r="U119" s="7"/>
    </row>
    <row r="120" spans="1:21" ht="10.5" customHeight="1">
      <c r="A120" s="67">
        <v>2</v>
      </c>
      <c r="B120" s="67" t="s">
        <v>128</v>
      </c>
      <c r="C120" s="68">
        <v>135</v>
      </c>
      <c r="D120" s="68">
        <v>53</v>
      </c>
      <c r="E120" s="68">
        <v>36</v>
      </c>
      <c r="F120" s="69">
        <v>0</v>
      </c>
      <c r="G120" s="68">
        <v>0</v>
      </c>
      <c r="H120" s="63">
        <v>0</v>
      </c>
      <c r="I120" s="68">
        <v>0</v>
      </c>
      <c r="J120" s="68">
        <v>0</v>
      </c>
      <c r="K120" s="68">
        <v>0</v>
      </c>
      <c r="L120" s="68">
        <v>0</v>
      </c>
      <c r="M120" s="20">
        <v>0</v>
      </c>
      <c r="N120" s="20">
        <v>0</v>
      </c>
      <c r="O120" s="70">
        <f t="shared" si="7"/>
        <v>224</v>
      </c>
      <c r="P120" s="71">
        <f t="shared" si="10"/>
        <v>0.02132309824617517</v>
      </c>
      <c r="R120" s="4"/>
      <c r="S120" s="4"/>
      <c r="T120" s="4"/>
      <c r="U120" s="7"/>
    </row>
    <row r="121" spans="1:21" ht="10.5" customHeight="1">
      <c r="A121" s="62">
        <v>3</v>
      </c>
      <c r="B121" s="67" t="s">
        <v>125</v>
      </c>
      <c r="C121" s="68">
        <v>8</v>
      </c>
      <c r="D121" s="68">
        <v>11</v>
      </c>
      <c r="E121" s="68">
        <v>1</v>
      </c>
      <c r="F121" s="69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8">
        <v>0</v>
      </c>
      <c r="M121" s="20">
        <v>0</v>
      </c>
      <c r="N121" s="20">
        <v>0</v>
      </c>
      <c r="O121" s="70">
        <f t="shared" si="7"/>
        <v>20</v>
      </c>
      <c r="P121" s="71">
        <f t="shared" si="10"/>
        <v>0.0019038480576942115</v>
      </c>
      <c r="R121" s="4"/>
      <c r="S121" s="4"/>
      <c r="T121" s="4"/>
      <c r="U121" s="7"/>
    </row>
    <row r="122" spans="1:21" ht="10.5" customHeight="1">
      <c r="A122" s="67">
        <v>4</v>
      </c>
      <c r="B122" s="67" t="s">
        <v>130</v>
      </c>
      <c r="C122" s="68">
        <v>151</v>
      </c>
      <c r="D122" s="68">
        <v>82</v>
      </c>
      <c r="E122" s="68">
        <v>62</v>
      </c>
      <c r="F122" s="69">
        <v>0</v>
      </c>
      <c r="G122" s="68">
        <v>0</v>
      </c>
      <c r="H122" s="63">
        <v>0</v>
      </c>
      <c r="I122" s="68">
        <v>0</v>
      </c>
      <c r="J122" s="68">
        <v>0</v>
      </c>
      <c r="K122" s="68">
        <v>0</v>
      </c>
      <c r="L122" s="68">
        <v>0</v>
      </c>
      <c r="M122" s="20">
        <v>0</v>
      </c>
      <c r="N122" s="20">
        <v>0</v>
      </c>
      <c r="O122" s="70">
        <f t="shared" si="7"/>
        <v>295</v>
      </c>
      <c r="P122" s="71">
        <f t="shared" si="10"/>
        <v>0.028081758850989617</v>
      </c>
      <c r="R122" s="4"/>
      <c r="S122" s="4"/>
      <c r="T122" s="4"/>
      <c r="U122" s="7"/>
    </row>
    <row r="123" spans="1:21" ht="10.5" customHeight="1">
      <c r="A123" s="62">
        <v>5</v>
      </c>
      <c r="B123" s="67" t="s">
        <v>123</v>
      </c>
      <c r="C123" s="68">
        <v>93</v>
      </c>
      <c r="D123" s="68">
        <v>43</v>
      </c>
      <c r="E123" s="68">
        <v>19</v>
      </c>
      <c r="F123" s="69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8">
        <v>0</v>
      </c>
      <c r="M123" s="20">
        <v>0</v>
      </c>
      <c r="N123" s="20">
        <v>0</v>
      </c>
      <c r="O123" s="70">
        <f t="shared" si="7"/>
        <v>155</v>
      </c>
      <c r="P123" s="71">
        <f t="shared" si="10"/>
        <v>0.01475482244713014</v>
      </c>
      <c r="R123" s="4"/>
      <c r="S123" s="4"/>
      <c r="T123" s="4"/>
      <c r="U123" s="7"/>
    </row>
    <row r="124" spans="1:21" ht="10.5" customHeight="1">
      <c r="A124" s="67">
        <v>6</v>
      </c>
      <c r="B124" s="67" t="s">
        <v>135</v>
      </c>
      <c r="C124" s="68">
        <f>1416+1+1</f>
        <v>1418</v>
      </c>
      <c r="D124" s="68">
        <f>1359+1+1+2</f>
        <v>1363</v>
      </c>
      <c r="E124" s="68">
        <f>834+2+4</f>
        <v>840</v>
      </c>
      <c r="F124" s="69">
        <v>1</v>
      </c>
      <c r="G124" s="68">
        <v>0</v>
      </c>
      <c r="H124" s="63">
        <v>0</v>
      </c>
      <c r="I124" s="68">
        <v>0</v>
      </c>
      <c r="J124" s="68">
        <v>0</v>
      </c>
      <c r="K124" s="68">
        <v>0</v>
      </c>
      <c r="L124" s="68">
        <v>0</v>
      </c>
      <c r="M124" s="20">
        <v>0</v>
      </c>
      <c r="N124" s="68">
        <v>1</v>
      </c>
      <c r="O124" s="70">
        <f t="shared" si="7"/>
        <v>3623</v>
      </c>
      <c r="P124" s="71">
        <f t="shared" si="10"/>
        <v>0.3448820756513064</v>
      </c>
      <c r="R124" s="4"/>
      <c r="S124" s="4"/>
      <c r="T124" s="4"/>
      <c r="U124" s="7"/>
    </row>
    <row r="125" spans="1:21" ht="10.5" customHeight="1">
      <c r="A125" s="62">
        <v>7</v>
      </c>
      <c r="B125" s="67" t="s">
        <v>216</v>
      </c>
      <c r="C125" s="68">
        <v>9591</v>
      </c>
      <c r="D125" s="68">
        <v>8334</v>
      </c>
      <c r="E125" s="68">
        <v>4121</v>
      </c>
      <c r="F125" s="69">
        <v>8</v>
      </c>
      <c r="G125" s="68">
        <v>0</v>
      </c>
      <c r="H125" s="63">
        <v>0</v>
      </c>
      <c r="I125" s="63">
        <v>0</v>
      </c>
      <c r="J125" s="63">
        <v>0</v>
      </c>
      <c r="K125" s="63">
        <v>0</v>
      </c>
      <c r="L125" s="68">
        <v>0</v>
      </c>
      <c r="M125" s="20">
        <v>0</v>
      </c>
      <c r="N125" s="68">
        <v>1</v>
      </c>
      <c r="O125" s="70">
        <f t="shared" si="7"/>
        <v>22055</v>
      </c>
      <c r="P125" s="71">
        <f t="shared" si="10"/>
        <v>2.099468445622292</v>
      </c>
      <c r="Q125" s="7">
        <f>106954-O125</f>
        <v>84899</v>
      </c>
      <c r="R125" s="4"/>
      <c r="S125" s="12"/>
      <c r="T125" s="4"/>
      <c r="U125" s="7"/>
    </row>
    <row r="126" spans="1:21" ht="10.5" customHeight="1">
      <c r="A126" s="67">
        <v>8</v>
      </c>
      <c r="B126" s="67" t="s">
        <v>134</v>
      </c>
      <c r="C126" s="68">
        <f>1149+2</f>
        <v>1151</v>
      </c>
      <c r="D126" s="68">
        <f>938+3</f>
        <v>941</v>
      </c>
      <c r="E126" s="68">
        <v>493</v>
      </c>
      <c r="F126" s="69">
        <v>0</v>
      </c>
      <c r="G126" s="68">
        <v>0</v>
      </c>
      <c r="H126" s="63">
        <v>0</v>
      </c>
      <c r="I126" s="68">
        <v>0</v>
      </c>
      <c r="J126" s="68">
        <v>0</v>
      </c>
      <c r="K126" s="68">
        <v>0</v>
      </c>
      <c r="L126" s="68">
        <v>0</v>
      </c>
      <c r="M126" s="20">
        <v>0</v>
      </c>
      <c r="N126" s="20">
        <v>0</v>
      </c>
      <c r="O126" s="70">
        <f t="shared" si="7"/>
        <v>2585</v>
      </c>
      <c r="P126" s="71">
        <f t="shared" si="10"/>
        <v>0.24607236145697686</v>
      </c>
      <c r="R126" s="4"/>
      <c r="S126" s="4"/>
      <c r="T126" s="4"/>
      <c r="U126" s="7"/>
    </row>
    <row r="127" spans="1:21" ht="10.5" customHeight="1">
      <c r="A127" s="62">
        <v>9</v>
      </c>
      <c r="B127" s="67" t="s">
        <v>141</v>
      </c>
      <c r="C127" s="68">
        <f>870+13+1</f>
        <v>884</v>
      </c>
      <c r="D127" s="68">
        <f>965+24+2</f>
        <v>991</v>
      </c>
      <c r="E127" s="68">
        <f>261+1+4+2</f>
        <v>268</v>
      </c>
      <c r="F127" s="69">
        <v>0</v>
      </c>
      <c r="G127" s="68">
        <v>0</v>
      </c>
      <c r="H127" s="63">
        <v>0</v>
      </c>
      <c r="I127" s="63">
        <v>0</v>
      </c>
      <c r="J127" s="63">
        <v>0</v>
      </c>
      <c r="K127" s="63">
        <v>0</v>
      </c>
      <c r="L127" s="68">
        <v>1</v>
      </c>
      <c r="M127" s="20">
        <v>0</v>
      </c>
      <c r="N127" s="20">
        <v>0</v>
      </c>
      <c r="O127" s="70">
        <f t="shared" si="7"/>
        <v>2144</v>
      </c>
      <c r="P127" s="71">
        <f t="shared" si="10"/>
        <v>0.20409251178481946</v>
      </c>
      <c r="R127" s="4"/>
      <c r="S127" s="4"/>
      <c r="T127" s="4"/>
      <c r="U127" s="7"/>
    </row>
    <row r="128" spans="1:21" ht="10.5" customHeight="1">
      <c r="A128" s="67">
        <v>10</v>
      </c>
      <c r="B128" s="67" t="s">
        <v>96</v>
      </c>
      <c r="C128" s="68">
        <v>94</v>
      </c>
      <c r="D128" s="68">
        <f>98+1+2</f>
        <v>101</v>
      </c>
      <c r="E128" s="68">
        <v>48</v>
      </c>
      <c r="F128" s="69">
        <v>0</v>
      </c>
      <c r="G128" s="68">
        <v>0</v>
      </c>
      <c r="H128" s="63">
        <v>0</v>
      </c>
      <c r="I128" s="68">
        <v>0</v>
      </c>
      <c r="J128" s="68">
        <v>0</v>
      </c>
      <c r="K128" s="68">
        <v>0</v>
      </c>
      <c r="L128" s="68">
        <v>0</v>
      </c>
      <c r="M128" s="20">
        <v>0</v>
      </c>
      <c r="N128" s="20">
        <v>0</v>
      </c>
      <c r="O128" s="70">
        <f t="shared" si="7"/>
        <v>243</v>
      </c>
      <c r="P128" s="71">
        <f t="shared" si="10"/>
        <v>0.02313175390098467</v>
      </c>
      <c r="R128" s="4"/>
      <c r="S128" s="4"/>
      <c r="T128" s="4"/>
      <c r="U128" s="7"/>
    </row>
    <row r="129" spans="1:21" ht="10.5" customHeight="1">
      <c r="A129" s="62">
        <v>11</v>
      </c>
      <c r="B129" s="67" t="s">
        <v>154</v>
      </c>
      <c r="C129" s="68">
        <f>457+1+1</f>
        <v>459</v>
      </c>
      <c r="D129" s="68">
        <f>302+11+2</f>
        <v>315</v>
      </c>
      <c r="E129" s="68">
        <v>146</v>
      </c>
      <c r="F129" s="69">
        <v>0</v>
      </c>
      <c r="G129" s="68">
        <v>0</v>
      </c>
      <c r="H129" s="63">
        <v>0</v>
      </c>
      <c r="I129" s="63">
        <v>0</v>
      </c>
      <c r="J129" s="63">
        <v>0</v>
      </c>
      <c r="K129" s="63">
        <v>0</v>
      </c>
      <c r="L129" s="68">
        <v>1</v>
      </c>
      <c r="M129" s="20">
        <v>0</v>
      </c>
      <c r="N129" s="20">
        <v>0</v>
      </c>
      <c r="O129" s="70">
        <f t="shared" si="7"/>
        <v>921</v>
      </c>
      <c r="P129" s="71">
        <f t="shared" si="10"/>
        <v>0.08767220305681844</v>
      </c>
      <c r="R129" s="4"/>
      <c r="S129" s="4"/>
      <c r="T129" s="4"/>
      <c r="U129" s="7"/>
    </row>
    <row r="130" spans="1:21" ht="10.5" customHeight="1">
      <c r="A130" s="67">
        <v>12</v>
      </c>
      <c r="B130" s="67" t="s">
        <v>157</v>
      </c>
      <c r="C130" s="68">
        <v>1712</v>
      </c>
      <c r="D130" s="68">
        <v>2358</v>
      </c>
      <c r="E130" s="68">
        <v>565</v>
      </c>
      <c r="F130" s="69">
        <v>0</v>
      </c>
      <c r="G130" s="68">
        <v>0</v>
      </c>
      <c r="H130" s="63">
        <v>0</v>
      </c>
      <c r="I130" s="68">
        <v>0</v>
      </c>
      <c r="J130" s="68">
        <v>0</v>
      </c>
      <c r="K130" s="68">
        <v>0</v>
      </c>
      <c r="L130" s="68">
        <v>0</v>
      </c>
      <c r="M130" s="20">
        <v>0</v>
      </c>
      <c r="N130" s="20">
        <v>0</v>
      </c>
      <c r="O130" s="70">
        <f t="shared" si="7"/>
        <v>4635</v>
      </c>
      <c r="P130" s="71">
        <f t="shared" si="10"/>
        <v>0.4412167873706335</v>
      </c>
      <c r="R130" s="4"/>
      <c r="S130" s="4"/>
      <c r="T130" s="4"/>
      <c r="U130" s="7"/>
    </row>
    <row r="131" spans="1:21" s="15" customFormat="1" ht="10.5" customHeight="1">
      <c r="A131" s="62">
        <v>13</v>
      </c>
      <c r="B131" s="67" t="s">
        <v>208</v>
      </c>
      <c r="C131" s="68">
        <v>0</v>
      </c>
      <c r="D131" s="68">
        <f>1+1</f>
        <v>2</v>
      </c>
      <c r="E131" s="68">
        <f>0+1</f>
        <v>1</v>
      </c>
      <c r="F131" s="69">
        <v>2</v>
      </c>
      <c r="G131" s="68">
        <v>0</v>
      </c>
      <c r="H131" s="63">
        <v>0</v>
      </c>
      <c r="I131" s="63">
        <v>0</v>
      </c>
      <c r="J131" s="63">
        <v>0</v>
      </c>
      <c r="K131" s="63">
        <v>0</v>
      </c>
      <c r="L131" s="68">
        <v>0</v>
      </c>
      <c r="M131" s="20">
        <v>0</v>
      </c>
      <c r="N131" s="20">
        <v>0</v>
      </c>
      <c r="O131" s="70">
        <f aca="true" t="shared" si="12" ref="O131:O194">SUM(C131:N131)</f>
        <v>5</v>
      </c>
      <c r="P131" s="71">
        <f t="shared" si="10"/>
        <v>0.00047596201442355287</v>
      </c>
      <c r="R131" s="16"/>
      <c r="S131" s="16"/>
      <c r="T131" s="16"/>
      <c r="U131" s="17"/>
    </row>
    <row r="132" spans="1:21" ht="10.5" customHeight="1">
      <c r="A132" s="67">
        <v>14</v>
      </c>
      <c r="B132" s="67" t="s">
        <v>158</v>
      </c>
      <c r="C132" s="68">
        <v>3099</v>
      </c>
      <c r="D132" s="68">
        <f>3715+3+1</f>
        <v>3719</v>
      </c>
      <c r="E132" s="68">
        <v>1420</v>
      </c>
      <c r="F132" s="69">
        <v>1</v>
      </c>
      <c r="G132" s="68">
        <v>0</v>
      </c>
      <c r="H132" s="63">
        <v>0</v>
      </c>
      <c r="I132" s="68">
        <v>0</v>
      </c>
      <c r="J132" s="68">
        <v>0</v>
      </c>
      <c r="K132" s="68">
        <v>0</v>
      </c>
      <c r="L132" s="68">
        <v>0</v>
      </c>
      <c r="M132" s="20">
        <v>0</v>
      </c>
      <c r="N132" s="20">
        <v>0</v>
      </c>
      <c r="O132" s="70">
        <f t="shared" si="12"/>
        <v>8239</v>
      </c>
      <c r="P132" s="71">
        <f t="shared" si="10"/>
        <v>0.7842902073671304</v>
      </c>
      <c r="Q132" s="7">
        <f>32469-O132</f>
        <v>24230</v>
      </c>
      <c r="R132" s="4"/>
      <c r="S132" s="4"/>
      <c r="T132" s="4"/>
      <c r="U132" s="7"/>
    </row>
    <row r="133" spans="1:21" ht="10.5" customHeight="1">
      <c r="A133" s="62">
        <v>15</v>
      </c>
      <c r="B133" s="67" t="s">
        <v>162</v>
      </c>
      <c r="C133" s="68">
        <v>882</v>
      </c>
      <c r="D133" s="68">
        <v>1140</v>
      </c>
      <c r="E133" s="68">
        <v>444</v>
      </c>
      <c r="F133" s="69">
        <v>0</v>
      </c>
      <c r="G133" s="68">
        <v>0</v>
      </c>
      <c r="H133" s="63">
        <v>0</v>
      </c>
      <c r="I133" s="63">
        <v>0</v>
      </c>
      <c r="J133" s="63">
        <v>0</v>
      </c>
      <c r="K133" s="63">
        <v>0</v>
      </c>
      <c r="L133" s="68">
        <v>0</v>
      </c>
      <c r="M133" s="20">
        <v>0</v>
      </c>
      <c r="N133" s="20">
        <v>0</v>
      </c>
      <c r="O133" s="70">
        <f t="shared" si="12"/>
        <v>2466</v>
      </c>
      <c r="P133" s="71">
        <f aca="true" t="shared" si="13" ref="P133:P160">O133/$O$196*100</f>
        <v>0.23474446551369627</v>
      </c>
      <c r="R133" s="4"/>
      <c r="S133" s="4"/>
      <c r="T133" s="4"/>
      <c r="U133" s="7"/>
    </row>
    <row r="134" spans="1:21" ht="10.5" customHeight="1">
      <c r="A134" s="67">
        <v>16</v>
      </c>
      <c r="B134" s="67" t="s">
        <v>165</v>
      </c>
      <c r="C134" s="68">
        <v>1954</v>
      </c>
      <c r="D134" s="68">
        <f>2053+1</f>
        <v>2054</v>
      </c>
      <c r="E134" s="68">
        <v>742</v>
      </c>
      <c r="F134" s="69">
        <v>0</v>
      </c>
      <c r="G134" s="68">
        <v>0</v>
      </c>
      <c r="H134" s="63">
        <v>0</v>
      </c>
      <c r="I134" s="68">
        <v>0</v>
      </c>
      <c r="J134" s="68">
        <v>0</v>
      </c>
      <c r="K134" s="68">
        <v>0</v>
      </c>
      <c r="L134" s="68">
        <v>0</v>
      </c>
      <c r="M134" s="20">
        <v>0</v>
      </c>
      <c r="N134" s="20">
        <v>0</v>
      </c>
      <c r="O134" s="70">
        <f t="shared" si="12"/>
        <v>4750</v>
      </c>
      <c r="P134" s="71">
        <f t="shared" si="13"/>
        <v>0.45216391370237524</v>
      </c>
      <c r="R134" s="4"/>
      <c r="S134" s="4"/>
      <c r="T134" s="4"/>
      <c r="U134" s="7"/>
    </row>
    <row r="135" spans="1:21" ht="10.5" customHeight="1">
      <c r="A135" s="62">
        <v>17</v>
      </c>
      <c r="B135" s="67" t="s">
        <v>168</v>
      </c>
      <c r="C135" s="68">
        <f>56+11+2</f>
        <v>69</v>
      </c>
      <c r="D135" s="68">
        <f>67+12+2</f>
        <v>81</v>
      </c>
      <c r="E135" s="68">
        <f>29+2+3</f>
        <v>34</v>
      </c>
      <c r="F135" s="69">
        <v>0</v>
      </c>
      <c r="G135" s="68">
        <v>0</v>
      </c>
      <c r="H135" s="63">
        <v>0</v>
      </c>
      <c r="I135" s="63">
        <v>0</v>
      </c>
      <c r="J135" s="63">
        <v>0</v>
      </c>
      <c r="K135" s="63">
        <v>0</v>
      </c>
      <c r="L135" s="68">
        <v>0</v>
      </c>
      <c r="M135" s="20">
        <v>0</v>
      </c>
      <c r="N135" s="20">
        <v>0</v>
      </c>
      <c r="O135" s="70">
        <f t="shared" si="12"/>
        <v>184</v>
      </c>
      <c r="P135" s="71">
        <f t="shared" si="13"/>
        <v>0.017515402130786745</v>
      </c>
      <c r="R135" s="4"/>
      <c r="S135" s="4"/>
      <c r="T135" s="4"/>
      <c r="U135" s="7"/>
    </row>
    <row r="136" spans="1:21" ht="10.5" customHeight="1">
      <c r="A136" s="67">
        <v>18</v>
      </c>
      <c r="B136" s="67" t="s">
        <v>172</v>
      </c>
      <c r="C136" s="68">
        <v>1140</v>
      </c>
      <c r="D136" s="68">
        <f>1289+2+2+4+2</f>
        <v>1299</v>
      </c>
      <c r="E136" s="68">
        <v>502</v>
      </c>
      <c r="F136" s="69">
        <v>0</v>
      </c>
      <c r="G136" s="68">
        <v>0</v>
      </c>
      <c r="H136" s="63">
        <v>0</v>
      </c>
      <c r="I136" s="68">
        <v>0</v>
      </c>
      <c r="J136" s="68">
        <v>0</v>
      </c>
      <c r="K136" s="68">
        <v>0</v>
      </c>
      <c r="L136" s="68">
        <v>0</v>
      </c>
      <c r="M136" s="20">
        <v>0</v>
      </c>
      <c r="N136" s="20">
        <v>0</v>
      </c>
      <c r="O136" s="70">
        <f t="shared" si="12"/>
        <v>2941</v>
      </c>
      <c r="P136" s="71">
        <f t="shared" si="13"/>
        <v>0.2799608568839338</v>
      </c>
      <c r="R136" s="4"/>
      <c r="S136" s="4"/>
      <c r="T136" s="4"/>
      <c r="U136" s="4"/>
    </row>
    <row r="137" spans="1:21" ht="10.5" customHeight="1">
      <c r="A137" s="62">
        <v>19</v>
      </c>
      <c r="B137" s="67" t="s">
        <v>60</v>
      </c>
      <c r="C137" s="68">
        <f>3258+1+1+1</f>
        <v>3261</v>
      </c>
      <c r="D137" s="68">
        <f>2830+2+1+39+2</f>
        <v>2874</v>
      </c>
      <c r="E137" s="68">
        <f>1097+1</f>
        <v>1098</v>
      </c>
      <c r="F137" s="69">
        <v>11</v>
      </c>
      <c r="G137" s="68">
        <v>0</v>
      </c>
      <c r="H137" s="63">
        <v>0</v>
      </c>
      <c r="I137" s="63">
        <v>0</v>
      </c>
      <c r="J137" s="63">
        <v>0</v>
      </c>
      <c r="K137" s="63">
        <v>0</v>
      </c>
      <c r="L137" s="68">
        <v>4</v>
      </c>
      <c r="M137" s="68">
        <v>1</v>
      </c>
      <c r="N137" s="20">
        <v>0</v>
      </c>
      <c r="O137" s="70">
        <f t="shared" si="12"/>
        <v>7249</v>
      </c>
      <c r="P137" s="71">
        <f t="shared" si="13"/>
        <v>0.690049728511267</v>
      </c>
      <c r="Q137" s="7"/>
      <c r="R137" s="4"/>
      <c r="S137" s="4"/>
      <c r="T137" s="4"/>
      <c r="U137" s="4"/>
    </row>
    <row r="138" spans="1:21" ht="10.5" customHeight="1">
      <c r="A138" s="67">
        <v>20</v>
      </c>
      <c r="B138" s="67" t="s">
        <v>217</v>
      </c>
      <c r="C138" s="68">
        <v>18580</v>
      </c>
      <c r="D138" s="68">
        <v>17309</v>
      </c>
      <c r="E138" s="68">
        <v>10620</v>
      </c>
      <c r="F138" s="69">
        <v>0</v>
      </c>
      <c r="G138" s="68">
        <v>0</v>
      </c>
      <c r="H138" s="63">
        <v>6</v>
      </c>
      <c r="I138" s="68">
        <v>3</v>
      </c>
      <c r="J138" s="68">
        <v>0</v>
      </c>
      <c r="K138" s="68">
        <v>0</v>
      </c>
      <c r="L138" s="68">
        <v>0</v>
      </c>
      <c r="M138" s="68">
        <v>9</v>
      </c>
      <c r="N138" s="68">
        <v>1</v>
      </c>
      <c r="O138" s="70">
        <f t="shared" si="12"/>
        <v>46528</v>
      </c>
      <c r="P138" s="71">
        <f t="shared" si="13"/>
        <v>4.429112121419814</v>
      </c>
      <c r="Q138" s="7">
        <f>263471-O138</f>
        <v>216943</v>
      </c>
      <c r="R138" s="4"/>
      <c r="S138" s="12"/>
      <c r="T138" s="4"/>
      <c r="U138" s="4"/>
    </row>
    <row r="139" spans="1:21" ht="10.5" customHeight="1">
      <c r="A139" s="62">
        <v>21</v>
      </c>
      <c r="B139" s="67" t="s">
        <v>97</v>
      </c>
      <c r="C139" s="68">
        <v>144</v>
      </c>
      <c r="D139" s="68">
        <v>149</v>
      </c>
      <c r="E139" s="68">
        <v>122</v>
      </c>
      <c r="F139" s="69">
        <v>0</v>
      </c>
      <c r="G139" s="68">
        <v>0</v>
      </c>
      <c r="H139" s="63">
        <v>0</v>
      </c>
      <c r="I139" s="63">
        <v>0</v>
      </c>
      <c r="J139" s="63">
        <v>0</v>
      </c>
      <c r="K139" s="63">
        <v>0</v>
      </c>
      <c r="L139" s="68">
        <v>0</v>
      </c>
      <c r="M139" s="20">
        <v>0</v>
      </c>
      <c r="N139" s="20">
        <v>0</v>
      </c>
      <c r="O139" s="70">
        <f t="shared" si="12"/>
        <v>415</v>
      </c>
      <c r="P139" s="71">
        <f t="shared" si="13"/>
        <v>0.039504847197154885</v>
      </c>
      <c r="R139" s="4"/>
      <c r="S139" s="5"/>
      <c r="T139" s="4"/>
      <c r="U139" s="4"/>
    </row>
    <row r="140" spans="1:21" ht="10.5" customHeight="1">
      <c r="A140" s="67">
        <v>22</v>
      </c>
      <c r="B140" s="67" t="s">
        <v>98</v>
      </c>
      <c r="C140" s="68">
        <v>1696</v>
      </c>
      <c r="D140" s="68">
        <f>1407+5+5+2+3</f>
        <v>1422</v>
      </c>
      <c r="E140" s="68">
        <v>707</v>
      </c>
      <c r="F140" s="69">
        <v>0</v>
      </c>
      <c r="G140" s="68">
        <v>0</v>
      </c>
      <c r="H140" s="63">
        <v>0</v>
      </c>
      <c r="I140" s="68">
        <v>0</v>
      </c>
      <c r="J140" s="68">
        <v>0</v>
      </c>
      <c r="K140" s="68">
        <v>0</v>
      </c>
      <c r="L140" s="68">
        <v>0</v>
      </c>
      <c r="M140" s="20">
        <v>0</v>
      </c>
      <c r="N140" s="20">
        <v>0</v>
      </c>
      <c r="O140" s="70">
        <f t="shared" si="12"/>
        <v>3825</v>
      </c>
      <c r="P140" s="71">
        <f t="shared" si="13"/>
        <v>0.3641109410340179</v>
      </c>
      <c r="Q140" s="7"/>
      <c r="R140" s="6"/>
      <c r="S140" s="4"/>
      <c r="T140" s="4"/>
      <c r="U140" s="4"/>
    </row>
    <row r="141" spans="1:21" ht="9.75" customHeight="1">
      <c r="A141" s="62">
        <v>23</v>
      </c>
      <c r="B141" s="67" t="s">
        <v>99</v>
      </c>
      <c r="C141" s="68">
        <v>9564</v>
      </c>
      <c r="D141" s="68">
        <v>12024</v>
      </c>
      <c r="E141" s="68">
        <v>7341</v>
      </c>
      <c r="F141" s="69">
        <v>2</v>
      </c>
      <c r="G141" s="68">
        <v>0</v>
      </c>
      <c r="H141" s="63">
        <v>0</v>
      </c>
      <c r="I141" s="63">
        <v>7</v>
      </c>
      <c r="J141" s="63">
        <v>0</v>
      </c>
      <c r="K141" s="63">
        <v>0</v>
      </c>
      <c r="L141" s="68">
        <v>0</v>
      </c>
      <c r="M141" s="68">
        <v>3</v>
      </c>
      <c r="N141" s="20">
        <v>0</v>
      </c>
      <c r="O141" s="70">
        <f t="shared" si="12"/>
        <v>28941</v>
      </c>
      <c r="P141" s="71">
        <f t="shared" si="13"/>
        <v>2.7549633318864086</v>
      </c>
      <c r="Q141" s="7">
        <f>186310-O141</f>
        <v>157369</v>
      </c>
      <c r="R141" s="4"/>
      <c r="S141" s="12"/>
      <c r="T141" s="4"/>
      <c r="U141" s="4"/>
    </row>
    <row r="142" spans="1:21" ht="10.5" customHeight="1">
      <c r="A142" s="67">
        <v>24</v>
      </c>
      <c r="B142" s="67" t="s">
        <v>100</v>
      </c>
      <c r="C142" s="68">
        <v>1688</v>
      </c>
      <c r="D142" s="68">
        <f>1029+1</f>
        <v>1030</v>
      </c>
      <c r="E142" s="68">
        <v>572</v>
      </c>
      <c r="F142" s="69">
        <v>0</v>
      </c>
      <c r="G142" s="68">
        <v>0</v>
      </c>
      <c r="H142" s="63">
        <v>0</v>
      </c>
      <c r="I142" s="68">
        <v>0</v>
      </c>
      <c r="J142" s="68">
        <v>0</v>
      </c>
      <c r="K142" s="68">
        <v>0</v>
      </c>
      <c r="L142" s="68">
        <v>0</v>
      </c>
      <c r="M142" s="20">
        <v>0</v>
      </c>
      <c r="N142" s="20">
        <v>0</v>
      </c>
      <c r="O142" s="70">
        <f t="shared" si="12"/>
        <v>3290</v>
      </c>
      <c r="P142" s="71">
        <f t="shared" si="13"/>
        <v>0.3131830054906978</v>
      </c>
      <c r="R142" s="4"/>
      <c r="S142" s="4"/>
      <c r="T142" s="4"/>
      <c r="U142" s="4"/>
    </row>
    <row r="143" spans="1:21" ht="10.5" customHeight="1">
      <c r="A143" s="62">
        <v>25</v>
      </c>
      <c r="B143" s="67" t="s">
        <v>36</v>
      </c>
      <c r="C143" s="68">
        <v>301</v>
      </c>
      <c r="D143" s="68">
        <v>118</v>
      </c>
      <c r="E143" s="68">
        <v>67</v>
      </c>
      <c r="F143" s="69">
        <v>1</v>
      </c>
      <c r="G143" s="68">
        <v>0</v>
      </c>
      <c r="H143" s="63">
        <v>0</v>
      </c>
      <c r="I143" s="63">
        <v>0</v>
      </c>
      <c r="J143" s="63">
        <v>0</v>
      </c>
      <c r="K143" s="63">
        <v>0</v>
      </c>
      <c r="L143" s="68">
        <v>0</v>
      </c>
      <c r="M143" s="20">
        <v>0</v>
      </c>
      <c r="N143" s="20">
        <v>0</v>
      </c>
      <c r="O143" s="70">
        <f t="shared" si="12"/>
        <v>487</v>
      </c>
      <c r="P143" s="71">
        <f t="shared" si="13"/>
        <v>0.046358700204854046</v>
      </c>
      <c r="Q143" s="7"/>
      <c r="R143" s="4"/>
      <c r="S143" s="4"/>
      <c r="T143" s="4"/>
      <c r="U143" s="4"/>
    </row>
    <row r="144" spans="1:21" ht="10.5" customHeight="1">
      <c r="A144" s="67">
        <v>26</v>
      </c>
      <c r="B144" s="67" t="s">
        <v>180</v>
      </c>
      <c r="C144" s="68">
        <f>971+2</f>
        <v>973</v>
      </c>
      <c r="D144" s="68">
        <v>1167</v>
      </c>
      <c r="E144" s="68">
        <v>523</v>
      </c>
      <c r="F144" s="69">
        <v>1</v>
      </c>
      <c r="G144" s="68">
        <v>0</v>
      </c>
      <c r="H144" s="63">
        <v>0</v>
      </c>
      <c r="I144" s="68">
        <v>0</v>
      </c>
      <c r="J144" s="68">
        <v>0</v>
      </c>
      <c r="K144" s="68">
        <v>0</v>
      </c>
      <c r="L144" s="68">
        <v>0</v>
      </c>
      <c r="M144" s="20">
        <v>0</v>
      </c>
      <c r="N144" s="20">
        <v>0</v>
      </c>
      <c r="O144" s="70">
        <f t="shared" si="12"/>
        <v>2664</v>
      </c>
      <c r="P144" s="71">
        <f t="shared" si="13"/>
        <v>0.25359256128486896</v>
      </c>
      <c r="R144" s="4"/>
      <c r="S144" s="4"/>
      <c r="T144" s="4"/>
      <c r="U144" s="4"/>
    </row>
    <row r="145" spans="1:21" ht="10.5" customHeight="1">
      <c r="A145" s="62">
        <v>27</v>
      </c>
      <c r="B145" s="67" t="s">
        <v>179</v>
      </c>
      <c r="C145" s="68">
        <v>7</v>
      </c>
      <c r="D145" s="68">
        <v>11</v>
      </c>
      <c r="E145" s="68">
        <v>1</v>
      </c>
      <c r="F145" s="69">
        <v>0</v>
      </c>
      <c r="G145" s="68">
        <v>0</v>
      </c>
      <c r="H145" s="63">
        <v>0</v>
      </c>
      <c r="I145" s="63">
        <v>0</v>
      </c>
      <c r="J145" s="63">
        <v>0</v>
      </c>
      <c r="K145" s="63">
        <v>0</v>
      </c>
      <c r="L145" s="68">
        <v>0</v>
      </c>
      <c r="M145" s="20">
        <v>0</v>
      </c>
      <c r="N145" s="20">
        <v>0</v>
      </c>
      <c r="O145" s="70">
        <f t="shared" si="12"/>
        <v>19</v>
      </c>
      <c r="P145" s="71">
        <f t="shared" si="13"/>
        <v>0.001808655654809501</v>
      </c>
      <c r="R145" s="4"/>
      <c r="S145" s="4"/>
      <c r="T145" s="4"/>
      <c r="U145" s="4"/>
    </row>
    <row r="146" spans="1:21" ht="10.5" customHeight="1">
      <c r="A146" s="67">
        <v>28</v>
      </c>
      <c r="B146" s="67" t="s">
        <v>178</v>
      </c>
      <c r="C146" s="68">
        <v>566</v>
      </c>
      <c r="D146" s="68">
        <f>592+2</f>
        <v>594</v>
      </c>
      <c r="E146" s="68">
        <v>372</v>
      </c>
      <c r="F146" s="69">
        <v>0</v>
      </c>
      <c r="G146" s="68">
        <v>0</v>
      </c>
      <c r="H146" s="63">
        <v>0</v>
      </c>
      <c r="I146" s="68">
        <v>0</v>
      </c>
      <c r="J146" s="68">
        <v>0</v>
      </c>
      <c r="K146" s="68">
        <v>0</v>
      </c>
      <c r="L146" s="68">
        <v>0</v>
      </c>
      <c r="M146" s="20">
        <v>0</v>
      </c>
      <c r="N146" s="20">
        <v>0</v>
      </c>
      <c r="O146" s="70">
        <f t="shared" si="12"/>
        <v>1532</v>
      </c>
      <c r="P146" s="71">
        <f t="shared" si="13"/>
        <v>0.1458347612193766</v>
      </c>
      <c r="R146" s="4"/>
      <c r="S146" s="4"/>
      <c r="T146" s="4"/>
      <c r="U146" s="4"/>
    </row>
    <row r="147" spans="1:21" ht="10.5" customHeight="1">
      <c r="A147" s="62">
        <v>29</v>
      </c>
      <c r="B147" s="67" t="s">
        <v>101</v>
      </c>
      <c r="C147" s="68">
        <v>63</v>
      </c>
      <c r="D147" s="68">
        <f>62+1</f>
        <v>63</v>
      </c>
      <c r="E147" s="68">
        <v>27</v>
      </c>
      <c r="F147" s="69">
        <v>0</v>
      </c>
      <c r="G147" s="68">
        <v>0</v>
      </c>
      <c r="H147" s="63">
        <v>0</v>
      </c>
      <c r="I147" s="63">
        <v>0</v>
      </c>
      <c r="J147" s="63">
        <v>0</v>
      </c>
      <c r="K147" s="63">
        <v>0</v>
      </c>
      <c r="L147" s="68">
        <v>0</v>
      </c>
      <c r="M147" s="20">
        <v>0</v>
      </c>
      <c r="N147" s="20">
        <v>0</v>
      </c>
      <c r="O147" s="70">
        <f t="shared" si="12"/>
        <v>153</v>
      </c>
      <c r="P147" s="71">
        <f t="shared" si="13"/>
        <v>0.014564437641360718</v>
      </c>
      <c r="R147" s="4"/>
      <c r="S147" s="4"/>
      <c r="T147" s="4"/>
      <c r="U147" s="4"/>
    </row>
    <row r="148" spans="1:21" ht="10.5" customHeight="1">
      <c r="A148" s="67">
        <v>30</v>
      </c>
      <c r="B148" s="67" t="s">
        <v>102</v>
      </c>
      <c r="C148" s="68">
        <v>78</v>
      </c>
      <c r="D148" s="68">
        <f>67+1+1</f>
        <v>69</v>
      </c>
      <c r="E148" s="68">
        <f>38+1+1</f>
        <v>40</v>
      </c>
      <c r="F148" s="69">
        <v>0</v>
      </c>
      <c r="G148" s="68">
        <v>0</v>
      </c>
      <c r="H148" s="63">
        <v>0</v>
      </c>
      <c r="I148" s="68">
        <v>0</v>
      </c>
      <c r="J148" s="68">
        <v>0</v>
      </c>
      <c r="K148" s="68">
        <v>0</v>
      </c>
      <c r="L148" s="68">
        <v>0</v>
      </c>
      <c r="M148" s="20">
        <v>0</v>
      </c>
      <c r="N148" s="20">
        <v>0</v>
      </c>
      <c r="O148" s="70">
        <f t="shared" si="12"/>
        <v>187</v>
      </c>
      <c r="P148" s="71">
        <f t="shared" si="13"/>
        <v>0.01780097933944088</v>
      </c>
      <c r="R148" s="4"/>
      <c r="S148" s="4"/>
      <c r="T148" s="4"/>
      <c r="U148" s="4"/>
    </row>
    <row r="149" spans="1:21" ht="10.5" customHeight="1">
      <c r="A149" s="62">
        <v>31</v>
      </c>
      <c r="B149" s="67" t="s">
        <v>181</v>
      </c>
      <c r="C149" s="68">
        <v>97</v>
      </c>
      <c r="D149" s="68">
        <f>87+1+2</f>
        <v>90</v>
      </c>
      <c r="E149" s="68">
        <v>24</v>
      </c>
      <c r="F149" s="69">
        <v>0</v>
      </c>
      <c r="G149" s="68">
        <v>0</v>
      </c>
      <c r="H149" s="63">
        <v>0</v>
      </c>
      <c r="I149" s="63">
        <v>0</v>
      </c>
      <c r="J149" s="63">
        <v>0</v>
      </c>
      <c r="K149" s="63">
        <v>0</v>
      </c>
      <c r="L149" s="68">
        <v>0</v>
      </c>
      <c r="M149" s="20">
        <v>0</v>
      </c>
      <c r="N149" s="20">
        <v>0</v>
      </c>
      <c r="O149" s="70">
        <f t="shared" si="12"/>
        <v>211</v>
      </c>
      <c r="P149" s="71">
        <f t="shared" si="13"/>
        <v>0.020085597008673933</v>
      </c>
      <c r="R149" s="4"/>
      <c r="S149" s="4"/>
      <c r="T149" s="4"/>
      <c r="U149" s="4"/>
    </row>
    <row r="150" spans="1:21" ht="10.5" customHeight="1">
      <c r="A150" s="67">
        <v>32</v>
      </c>
      <c r="B150" s="67" t="s">
        <v>184</v>
      </c>
      <c r="C150" s="68">
        <v>5</v>
      </c>
      <c r="D150" s="68">
        <v>14</v>
      </c>
      <c r="E150" s="68">
        <v>1</v>
      </c>
      <c r="F150" s="69">
        <v>0</v>
      </c>
      <c r="G150" s="68">
        <v>0</v>
      </c>
      <c r="H150" s="63">
        <v>0</v>
      </c>
      <c r="I150" s="68">
        <v>0</v>
      </c>
      <c r="J150" s="68">
        <v>0</v>
      </c>
      <c r="K150" s="68">
        <v>0</v>
      </c>
      <c r="L150" s="68">
        <v>0</v>
      </c>
      <c r="M150" s="20">
        <v>0</v>
      </c>
      <c r="N150" s="20">
        <v>0</v>
      </c>
      <c r="O150" s="70">
        <f t="shared" si="12"/>
        <v>20</v>
      </c>
      <c r="P150" s="71">
        <f t="shared" si="13"/>
        <v>0.0019038480576942115</v>
      </c>
      <c r="R150" s="4"/>
      <c r="S150" s="4"/>
      <c r="T150" s="4"/>
      <c r="U150" s="4"/>
    </row>
    <row r="151" spans="1:21" ht="10.5" customHeight="1">
      <c r="A151" s="62">
        <v>33</v>
      </c>
      <c r="B151" s="67" t="s">
        <v>211</v>
      </c>
      <c r="C151" s="68">
        <f>47+2</f>
        <v>49</v>
      </c>
      <c r="D151" s="68">
        <f>12+7+1</f>
        <v>20</v>
      </c>
      <c r="E151" s="68">
        <f>11+2+1</f>
        <v>14</v>
      </c>
      <c r="F151" s="69">
        <v>0</v>
      </c>
      <c r="G151" s="68">
        <v>0</v>
      </c>
      <c r="H151" s="63">
        <v>0</v>
      </c>
      <c r="I151" s="63">
        <v>0</v>
      </c>
      <c r="J151" s="63">
        <v>0</v>
      </c>
      <c r="K151" s="63">
        <v>0</v>
      </c>
      <c r="L151" s="68">
        <v>0</v>
      </c>
      <c r="M151" s="20">
        <v>0</v>
      </c>
      <c r="N151" s="20">
        <v>0</v>
      </c>
      <c r="O151" s="70">
        <f t="shared" si="12"/>
        <v>83</v>
      </c>
      <c r="P151" s="71">
        <f t="shared" si="13"/>
        <v>0.007900969439430978</v>
      </c>
      <c r="R151" s="4"/>
      <c r="S151" s="4"/>
      <c r="T151" s="4"/>
      <c r="U151" s="4"/>
    </row>
    <row r="152" spans="1:21" ht="10.5" customHeight="1">
      <c r="A152" s="67">
        <v>34</v>
      </c>
      <c r="B152" s="67" t="s">
        <v>103</v>
      </c>
      <c r="C152" s="68">
        <v>1355</v>
      </c>
      <c r="D152" s="68">
        <f>1601+6+6+1</f>
        <v>1614</v>
      </c>
      <c r="E152" s="68">
        <f>733+1</f>
        <v>734</v>
      </c>
      <c r="F152" s="69">
        <v>0</v>
      </c>
      <c r="G152" s="68">
        <v>0</v>
      </c>
      <c r="H152" s="63">
        <v>0</v>
      </c>
      <c r="I152" s="68">
        <v>0</v>
      </c>
      <c r="J152" s="68">
        <v>0</v>
      </c>
      <c r="K152" s="68">
        <v>0</v>
      </c>
      <c r="L152" s="68">
        <v>0</v>
      </c>
      <c r="M152" s="20">
        <v>0</v>
      </c>
      <c r="N152" s="20">
        <v>0</v>
      </c>
      <c r="O152" s="70">
        <f t="shared" si="12"/>
        <v>3703</v>
      </c>
      <c r="P152" s="71">
        <f t="shared" si="13"/>
        <v>0.35249746788208325</v>
      </c>
      <c r="R152" s="4"/>
      <c r="S152" s="4"/>
      <c r="T152" s="4"/>
      <c r="U152" s="4"/>
    </row>
    <row r="153" spans="1:21" ht="10.5" customHeight="1">
      <c r="A153" s="62">
        <v>35</v>
      </c>
      <c r="B153" s="67" t="s">
        <v>65</v>
      </c>
      <c r="C153" s="68">
        <f>2352+1+2</f>
        <v>2355</v>
      </c>
      <c r="D153" s="68">
        <f>1751+1+1+11+2</f>
        <v>1766</v>
      </c>
      <c r="E153" s="68">
        <f>931+4+1</f>
        <v>936</v>
      </c>
      <c r="F153" s="69">
        <v>1</v>
      </c>
      <c r="G153" s="68">
        <v>0</v>
      </c>
      <c r="H153" s="63">
        <v>0</v>
      </c>
      <c r="I153" s="63">
        <v>0</v>
      </c>
      <c r="J153" s="63">
        <v>0</v>
      </c>
      <c r="K153" s="63">
        <v>0</v>
      </c>
      <c r="L153" s="68">
        <v>0</v>
      </c>
      <c r="M153" s="20">
        <v>0</v>
      </c>
      <c r="N153" s="68">
        <v>1</v>
      </c>
      <c r="O153" s="70">
        <f t="shared" si="12"/>
        <v>5059</v>
      </c>
      <c r="P153" s="71">
        <f t="shared" si="13"/>
        <v>0.4815783661937508</v>
      </c>
      <c r="R153" s="4"/>
      <c r="S153" s="4"/>
      <c r="T153" s="4"/>
      <c r="U153" s="4"/>
    </row>
    <row r="154" spans="1:23" ht="10.5" customHeight="1">
      <c r="A154" s="67">
        <v>36</v>
      </c>
      <c r="B154" s="67" t="s">
        <v>166</v>
      </c>
      <c r="C154" s="68">
        <v>10139</v>
      </c>
      <c r="D154" s="68">
        <v>13518</v>
      </c>
      <c r="E154" s="68">
        <v>5642</v>
      </c>
      <c r="F154" s="69">
        <v>2</v>
      </c>
      <c r="G154" s="68">
        <v>0</v>
      </c>
      <c r="H154" s="63">
        <v>0</v>
      </c>
      <c r="I154" s="68">
        <v>0</v>
      </c>
      <c r="J154" s="68">
        <v>8</v>
      </c>
      <c r="K154" s="68">
        <v>0</v>
      </c>
      <c r="L154" s="68">
        <v>0</v>
      </c>
      <c r="M154" s="68">
        <v>1</v>
      </c>
      <c r="N154" s="68">
        <v>1</v>
      </c>
      <c r="O154" s="70">
        <f t="shared" si="12"/>
        <v>29311</v>
      </c>
      <c r="P154" s="71">
        <f t="shared" si="13"/>
        <v>2.7901845209537517</v>
      </c>
      <c r="Q154" s="7">
        <f>198883-O154</f>
        <v>169572</v>
      </c>
      <c r="R154" s="4"/>
      <c r="S154" s="12"/>
      <c r="T154" s="4"/>
      <c r="U154" s="4"/>
      <c r="W154" s="7"/>
    </row>
    <row r="155" spans="1:21" ht="10.5" customHeight="1">
      <c r="A155" s="62">
        <v>37</v>
      </c>
      <c r="B155" s="67" t="s">
        <v>104</v>
      </c>
      <c r="C155" s="68">
        <v>2589</v>
      </c>
      <c r="D155" s="68">
        <f>2875+2+1+11+1</f>
        <v>2890</v>
      </c>
      <c r="E155" s="68">
        <v>1182</v>
      </c>
      <c r="F155" s="69">
        <v>1</v>
      </c>
      <c r="G155" s="68">
        <v>0</v>
      </c>
      <c r="H155" s="63">
        <v>0</v>
      </c>
      <c r="I155" s="63">
        <v>0</v>
      </c>
      <c r="J155" s="63">
        <v>0</v>
      </c>
      <c r="K155" s="63">
        <v>0</v>
      </c>
      <c r="L155" s="68">
        <v>0</v>
      </c>
      <c r="M155" s="68">
        <v>1</v>
      </c>
      <c r="N155" s="20">
        <v>0</v>
      </c>
      <c r="O155" s="70">
        <f t="shared" si="12"/>
        <v>6663</v>
      </c>
      <c r="P155" s="71">
        <f t="shared" si="13"/>
        <v>0.6342669804208265</v>
      </c>
      <c r="R155" s="4"/>
      <c r="S155" s="4"/>
      <c r="T155" s="4"/>
      <c r="U155" s="4"/>
    </row>
    <row r="156" spans="1:21" ht="10.5" customHeight="1">
      <c r="A156" s="67">
        <v>38</v>
      </c>
      <c r="B156" s="67" t="s">
        <v>212</v>
      </c>
      <c r="C156" s="68">
        <v>1</v>
      </c>
      <c r="D156" s="68">
        <v>1</v>
      </c>
      <c r="E156" s="68">
        <v>2</v>
      </c>
      <c r="F156" s="69">
        <v>0</v>
      </c>
      <c r="G156" s="68">
        <v>0</v>
      </c>
      <c r="H156" s="63">
        <v>0</v>
      </c>
      <c r="I156" s="68">
        <v>0</v>
      </c>
      <c r="J156" s="68">
        <v>0</v>
      </c>
      <c r="K156" s="68">
        <v>0</v>
      </c>
      <c r="L156" s="68">
        <v>0</v>
      </c>
      <c r="M156" s="20">
        <v>0</v>
      </c>
      <c r="N156" s="20">
        <v>0</v>
      </c>
      <c r="O156" s="70">
        <f t="shared" si="12"/>
        <v>4</v>
      </c>
      <c r="P156" s="71">
        <f t="shared" si="13"/>
        <v>0.0003807696115388423</v>
      </c>
      <c r="R156" s="4"/>
      <c r="S156" s="4"/>
      <c r="T156" s="4"/>
      <c r="U156" s="4"/>
    </row>
    <row r="157" spans="1:21" ht="10.5" customHeight="1">
      <c r="A157" s="62">
        <v>39</v>
      </c>
      <c r="B157" s="67" t="s">
        <v>53</v>
      </c>
      <c r="C157" s="68">
        <v>25486</v>
      </c>
      <c r="D157" s="68">
        <v>19959</v>
      </c>
      <c r="E157" s="68">
        <v>11090</v>
      </c>
      <c r="F157" s="69">
        <v>28</v>
      </c>
      <c r="G157" s="68">
        <v>0</v>
      </c>
      <c r="H157" s="63">
        <v>20</v>
      </c>
      <c r="I157" s="63">
        <v>0</v>
      </c>
      <c r="J157" s="63">
        <v>0</v>
      </c>
      <c r="K157" s="63">
        <v>0</v>
      </c>
      <c r="L157" s="68">
        <v>0</v>
      </c>
      <c r="M157" s="20">
        <v>0</v>
      </c>
      <c r="N157" s="68">
        <v>20</v>
      </c>
      <c r="O157" s="70">
        <f t="shared" si="12"/>
        <v>56603</v>
      </c>
      <c r="P157" s="71">
        <f t="shared" si="13"/>
        <v>5.3881755804832725</v>
      </c>
      <c r="Q157" s="7">
        <f>124077-O157</f>
        <v>67474</v>
      </c>
      <c r="R157" s="4"/>
      <c r="S157" s="12"/>
      <c r="T157" s="4"/>
      <c r="U157" s="4"/>
    </row>
    <row r="158" spans="1:21" ht="10.5" customHeight="1">
      <c r="A158" s="67">
        <v>40</v>
      </c>
      <c r="B158" s="67" t="s">
        <v>66</v>
      </c>
      <c r="C158" s="68">
        <f>1595+1+17+5</f>
        <v>1618</v>
      </c>
      <c r="D158" s="68">
        <f>1385+2+1+1+56+12</f>
        <v>1457</v>
      </c>
      <c r="E158" s="68">
        <f>510+9+3</f>
        <v>522</v>
      </c>
      <c r="F158" s="69">
        <v>2</v>
      </c>
      <c r="G158" s="68">
        <v>0</v>
      </c>
      <c r="H158" s="63">
        <v>0</v>
      </c>
      <c r="I158" s="68">
        <v>0</v>
      </c>
      <c r="J158" s="68">
        <v>0</v>
      </c>
      <c r="K158" s="68">
        <v>0</v>
      </c>
      <c r="L158" s="68">
        <v>0</v>
      </c>
      <c r="M158" s="20">
        <v>0</v>
      </c>
      <c r="N158" s="20">
        <v>0</v>
      </c>
      <c r="O158" s="70">
        <f t="shared" si="12"/>
        <v>3599</v>
      </c>
      <c r="P158" s="71">
        <f t="shared" si="13"/>
        <v>0.34259745798207336</v>
      </c>
      <c r="R158" s="4"/>
      <c r="S158" s="4"/>
      <c r="T158" s="4"/>
      <c r="U158" s="4"/>
    </row>
    <row r="159" spans="1:21" ht="10.5" customHeight="1">
      <c r="A159" s="62">
        <v>41</v>
      </c>
      <c r="B159" s="67" t="s">
        <v>54</v>
      </c>
      <c r="C159" s="68">
        <v>0</v>
      </c>
      <c r="D159" s="68">
        <v>0</v>
      </c>
      <c r="E159" s="68">
        <v>0</v>
      </c>
      <c r="F159" s="69">
        <v>0</v>
      </c>
      <c r="G159" s="68">
        <v>0</v>
      </c>
      <c r="H159" s="63">
        <v>0</v>
      </c>
      <c r="I159" s="63">
        <v>0</v>
      </c>
      <c r="J159" s="63">
        <v>0</v>
      </c>
      <c r="K159" s="63">
        <v>0</v>
      </c>
      <c r="L159" s="68">
        <v>0</v>
      </c>
      <c r="M159" s="20">
        <v>0</v>
      </c>
      <c r="N159" s="20">
        <v>0</v>
      </c>
      <c r="O159" s="70">
        <f t="shared" si="12"/>
        <v>0</v>
      </c>
      <c r="P159" s="71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7">
        <v>42</v>
      </c>
      <c r="B160" s="67" t="s">
        <v>105</v>
      </c>
      <c r="C160" s="68">
        <v>292</v>
      </c>
      <c r="D160" s="68">
        <f>385+1</f>
        <v>386</v>
      </c>
      <c r="E160" s="68">
        <f>100+1</f>
        <v>101</v>
      </c>
      <c r="F160" s="69">
        <v>1</v>
      </c>
      <c r="G160" s="68">
        <v>0</v>
      </c>
      <c r="H160" s="63">
        <v>0</v>
      </c>
      <c r="I160" s="68">
        <v>0</v>
      </c>
      <c r="J160" s="68">
        <v>0</v>
      </c>
      <c r="K160" s="68">
        <v>0</v>
      </c>
      <c r="L160" s="68">
        <v>0</v>
      </c>
      <c r="M160" s="20">
        <v>0</v>
      </c>
      <c r="N160" s="20">
        <v>0</v>
      </c>
      <c r="O160" s="70">
        <f t="shared" si="12"/>
        <v>780</v>
      </c>
      <c r="P160" s="71">
        <f t="shared" si="13"/>
        <v>0.07425007425007425</v>
      </c>
      <c r="R160" s="4"/>
      <c r="S160" s="4"/>
      <c r="T160" s="4"/>
      <c r="U160" s="4"/>
    </row>
    <row r="161" spans="1:21" ht="10.5" customHeight="1">
      <c r="A161" s="62">
        <v>43</v>
      </c>
      <c r="B161" s="67" t="s">
        <v>106</v>
      </c>
      <c r="C161" s="68">
        <v>641</v>
      </c>
      <c r="D161" s="68">
        <f>765+1+1</f>
        <v>767</v>
      </c>
      <c r="E161" s="68">
        <v>385</v>
      </c>
      <c r="F161" s="69">
        <v>0</v>
      </c>
      <c r="G161" s="68">
        <v>0</v>
      </c>
      <c r="H161" s="63">
        <v>0</v>
      </c>
      <c r="I161" s="63">
        <v>0</v>
      </c>
      <c r="J161" s="63">
        <v>0</v>
      </c>
      <c r="K161" s="63">
        <v>0</v>
      </c>
      <c r="L161" s="68">
        <v>0</v>
      </c>
      <c r="M161" s="20">
        <v>0</v>
      </c>
      <c r="N161" s="20">
        <v>0</v>
      </c>
      <c r="O161" s="70">
        <f t="shared" si="12"/>
        <v>1793</v>
      </c>
      <c r="P161" s="71">
        <f aca="true" t="shared" si="14" ref="P161:P196">O161/$O$196*100</f>
        <v>0.17067997837228607</v>
      </c>
      <c r="R161" s="4"/>
      <c r="S161" s="4"/>
      <c r="T161" s="4"/>
      <c r="U161" s="4"/>
    </row>
    <row r="162" spans="1:21" ht="10.5" customHeight="1">
      <c r="A162" s="67">
        <v>44</v>
      </c>
      <c r="B162" s="67" t="s">
        <v>107</v>
      </c>
      <c r="C162" s="68">
        <f>3955+1</f>
        <v>3956</v>
      </c>
      <c r="D162" s="68">
        <v>4691</v>
      </c>
      <c r="E162" s="68">
        <v>2053</v>
      </c>
      <c r="F162" s="69">
        <v>0</v>
      </c>
      <c r="G162" s="68">
        <v>0</v>
      </c>
      <c r="H162" s="63">
        <v>0</v>
      </c>
      <c r="I162" s="68">
        <v>0</v>
      </c>
      <c r="J162" s="68">
        <v>0</v>
      </c>
      <c r="K162" s="68">
        <v>0</v>
      </c>
      <c r="L162" s="68">
        <v>0</v>
      </c>
      <c r="M162" s="20">
        <v>0</v>
      </c>
      <c r="N162" s="20">
        <v>0</v>
      </c>
      <c r="O162" s="70">
        <f t="shared" si="12"/>
        <v>10700</v>
      </c>
      <c r="P162" s="71">
        <f t="shared" si="14"/>
        <v>1.0185587108664031</v>
      </c>
      <c r="Q162" s="7">
        <f>30584-O162</f>
        <v>19884</v>
      </c>
      <c r="R162" s="4"/>
      <c r="S162" s="4"/>
      <c r="T162" s="4"/>
      <c r="U162" s="4"/>
    </row>
    <row r="163" spans="1:21" ht="10.5" customHeight="1">
      <c r="A163" s="62">
        <v>45</v>
      </c>
      <c r="B163" s="67" t="s">
        <v>108</v>
      </c>
      <c r="C163" s="68">
        <f>3202+4+1+1</f>
        <v>3208</v>
      </c>
      <c r="D163" s="68">
        <f>2955+2+1+6+1</f>
        <v>2965</v>
      </c>
      <c r="E163" s="68">
        <v>1520</v>
      </c>
      <c r="F163" s="69">
        <v>15</v>
      </c>
      <c r="G163" s="68">
        <v>19</v>
      </c>
      <c r="H163" s="63">
        <v>0</v>
      </c>
      <c r="I163" s="63">
        <v>0</v>
      </c>
      <c r="J163" s="63">
        <v>0</v>
      </c>
      <c r="K163" s="63">
        <v>0</v>
      </c>
      <c r="L163" s="68">
        <v>0</v>
      </c>
      <c r="M163" s="20">
        <v>0</v>
      </c>
      <c r="N163" s="20">
        <v>0</v>
      </c>
      <c r="O163" s="70">
        <f t="shared" si="12"/>
        <v>7727</v>
      </c>
      <c r="P163" s="71">
        <f t="shared" si="14"/>
        <v>0.7355516970901586</v>
      </c>
      <c r="Q163" s="7"/>
      <c r="R163" s="4"/>
      <c r="S163" s="4"/>
      <c r="T163" s="4"/>
      <c r="U163" s="4"/>
    </row>
    <row r="164" spans="1:21" ht="10.5" customHeight="1">
      <c r="A164" s="67">
        <v>46</v>
      </c>
      <c r="B164" s="67" t="s">
        <v>109</v>
      </c>
      <c r="C164" s="68">
        <v>2029</v>
      </c>
      <c r="D164" s="68">
        <f>2205+21+18</f>
        <v>2244</v>
      </c>
      <c r="E164" s="68">
        <v>1020</v>
      </c>
      <c r="F164" s="69">
        <v>1</v>
      </c>
      <c r="G164" s="68">
        <v>0</v>
      </c>
      <c r="H164" s="63">
        <v>0</v>
      </c>
      <c r="I164" s="68">
        <v>0</v>
      </c>
      <c r="J164" s="68">
        <v>0</v>
      </c>
      <c r="K164" s="68">
        <v>0</v>
      </c>
      <c r="L164" s="68">
        <v>0</v>
      </c>
      <c r="M164" s="20">
        <v>0</v>
      </c>
      <c r="N164" s="20">
        <v>0</v>
      </c>
      <c r="O164" s="70">
        <f t="shared" si="12"/>
        <v>5294</v>
      </c>
      <c r="P164" s="71">
        <f t="shared" si="14"/>
        <v>0.5039485808716578</v>
      </c>
      <c r="R164" s="4"/>
      <c r="S164" s="4"/>
      <c r="T164" s="4"/>
      <c r="U164" s="4"/>
    </row>
    <row r="165" spans="1:21" ht="10.5" customHeight="1">
      <c r="A165" s="62">
        <v>47</v>
      </c>
      <c r="B165" s="67" t="s">
        <v>37</v>
      </c>
      <c r="C165" s="68">
        <v>1</v>
      </c>
      <c r="D165" s="68">
        <v>2</v>
      </c>
      <c r="E165" s="68">
        <v>0</v>
      </c>
      <c r="F165" s="69">
        <v>0</v>
      </c>
      <c r="G165" s="68">
        <v>0</v>
      </c>
      <c r="H165" s="63">
        <v>0</v>
      </c>
      <c r="I165" s="63">
        <v>0</v>
      </c>
      <c r="J165" s="63">
        <v>0</v>
      </c>
      <c r="K165" s="63">
        <v>0</v>
      </c>
      <c r="L165" s="68">
        <v>0</v>
      </c>
      <c r="M165" s="20">
        <v>0</v>
      </c>
      <c r="N165" s="20">
        <v>0</v>
      </c>
      <c r="O165" s="70">
        <f t="shared" si="12"/>
        <v>3</v>
      </c>
      <c r="P165" s="71">
        <f t="shared" si="14"/>
        <v>0.0002855772086541317</v>
      </c>
      <c r="R165" s="4"/>
      <c r="S165" s="4"/>
      <c r="T165" s="4"/>
      <c r="U165" s="4"/>
    </row>
    <row r="166" spans="1:21" ht="10.5" customHeight="1">
      <c r="A166" s="67">
        <v>48</v>
      </c>
      <c r="B166" s="67" t="s">
        <v>198</v>
      </c>
      <c r="C166" s="20">
        <f>484+10+8</f>
        <v>502</v>
      </c>
      <c r="D166" s="20">
        <f>512+15+12</f>
        <v>539</v>
      </c>
      <c r="E166" s="68">
        <f>8+192+15+10</f>
        <v>225</v>
      </c>
      <c r="F166" s="69">
        <v>0</v>
      </c>
      <c r="G166" s="68">
        <v>0</v>
      </c>
      <c r="H166" s="63">
        <v>0</v>
      </c>
      <c r="I166" s="68">
        <v>0</v>
      </c>
      <c r="J166" s="68">
        <v>0</v>
      </c>
      <c r="K166" s="68">
        <v>0</v>
      </c>
      <c r="L166" s="68">
        <v>0</v>
      </c>
      <c r="M166" s="20">
        <v>0</v>
      </c>
      <c r="N166" s="20">
        <v>0</v>
      </c>
      <c r="O166" s="70">
        <f t="shared" si="12"/>
        <v>1266</v>
      </c>
      <c r="P166" s="71">
        <f t="shared" si="14"/>
        <v>0.12051358205204359</v>
      </c>
      <c r="R166" s="4"/>
      <c r="S166" s="4"/>
      <c r="T166" s="4"/>
      <c r="U166" s="4"/>
    </row>
    <row r="167" spans="1:21" ht="10.5" customHeight="1">
      <c r="A167" s="62">
        <v>49</v>
      </c>
      <c r="B167" s="67" t="s">
        <v>110</v>
      </c>
      <c r="C167" s="68">
        <v>45</v>
      </c>
      <c r="D167" s="68">
        <v>21</v>
      </c>
      <c r="E167" s="68">
        <v>8</v>
      </c>
      <c r="F167" s="69">
        <v>0</v>
      </c>
      <c r="G167" s="68">
        <v>0</v>
      </c>
      <c r="H167" s="63">
        <v>0</v>
      </c>
      <c r="I167" s="63">
        <v>0</v>
      </c>
      <c r="J167" s="63">
        <v>0</v>
      </c>
      <c r="K167" s="63">
        <v>0</v>
      </c>
      <c r="L167" s="68">
        <v>0</v>
      </c>
      <c r="M167" s="20">
        <v>0</v>
      </c>
      <c r="N167" s="20">
        <v>0</v>
      </c>
      <c r="O167" s="70">
        <f t="shared" si="12"/>
        <v>74</v>
      </c>
      <c r="P167" s="71">
        <f t="shared" si="14"/>
        <v>0.0070442378134685825</v>
      </c>
      <c r="R167" s="4"/>
      <c r="S167" s="4"/>
      <c r="T167" s="4"/>
      <c r="U167" s="4"/>
    </row>
    <row r="168" spans="1:21" ht="10.5" customHeight="1">
      <c r="A168" s="67">
        <v>50</v>
      </c>
      <c r="B168" s="67" t="s">
        <v>111</v>
      </c>
      <c r="C168" s="68">
        <f>5994+71+25</f>
        <v>6090</v>
      </c>
      <c r="D168" s="68">
        <v>4400</v>
      </c>
      <c r="E168" s="68">
        <v>2035</v>
      </c>
      <c r="F168" s="69">
        <v>2</v>
      </c>
      <c r="G168" s="68">
        <v>0</v>
      </c>
      <c r="H168" s="63">
        <v>0</v>
      </c>
      <c r="I168" s="68">
        <v>0</v>
      </c>
      <c r="J168" s="68">
        <v>0</v>
      </c>
      <c r="K168" s="68">
        <v>0</v>
      </c>
      <c r="L168" s="68">
        <v>0</v>
      </c>
      <c r="M168" s="20">
        <v>0</v>
      </c>
      <c r="N168" s="68">
        <v>1</v>
      </c>
      <c r="O168" s="70">
        <f t="shared" si="12"/>
        <v>12528</v>
      </c>
      <c r="P168" s="71">
        <f t="shared" si="14"/>
        <v>1.1925704233396541</v>
      </c>
      <c r="R168" s="4"/>
      <c r="S168" s="4"/>
      <c r="T168" s="4"/>
      <c r="U168" s="4"/>
    </row>
    <row r="169" spans="1:21" ht="10.5" customHeight="1">
      <c r="A169" s="62">
        <v>51</v>
      </c>
      <c r="B169" s="67" t="s">
        <v>112</v>
      </c>
      <c r="C169" s="68">
        <v>582</v>
      </c>
      <c r="D169" s="68">
        <v>248</v>
      </c>
      <c r="E169" s="68">
        <v>99</v>
      </c>
      <c r="F169" s="69">
        <v>0</v>
      </c>
      <c r="G169" s="68">
        <v>0</v>
      </c>
      <c r="H169" s="63">
        <v>0</v>
      </c>
      <c r="I169" s="63">
        <v>0</v>
      </c>
      <c r="J169" s="63">
        <v>0</v>
      </c>
      <c r="K169" s="63">
        <v>0</v>
      </c>
      <c r="L169" s="68">
        <v>0</v>
      </c>
      <c r="M169" s="20">
        <v>0</v>
      </c>
      <c r="N169" s="20">
        <v>0</v>
      </c>
      <c r="O169" s="70">
        <f t="shared" si="12"/>
        <v>929</v>
      </c>
      <c r="P169" s="71">
        <f t="shared" si="14"/>
        <v>0.08843374227989612</v>
      </c>
      <c r="R169" s="4"/>
      <c r="S169" s="4"/>
      <c r="T169" s="4"/>
      <c r="U169" s="4"/>
    </row>
    <row r="170" spans="1:21" ht="10.5" customHeight="1">
      <c r="A170" s="67">
        <v>52</v>
      </c>
      <c r="B170" s="67" t="s">
        <v>113</v>
      </c>
      <c r="C170" s="68">
        <v>0</v>
      </c>
      <c r="D170" s="68">
        <v>0</v>
      </c>
      <c r="E170" s="72">
        <v>0</v>
      </c>
      <c r="F170" s="69">
        <v>0</v>
      </c>
      <c r="G170" s="68">
        <v>0</v>
      </c>
      <c r="H170" s="63">
        <v>0</v>
      </c>
      <c r="I170" s="68">
        <v>0</v>
      </c>
      <c r="J170" s="68">
        <v>0</v>
      </c>
      <c r="K170" s="68">
        <v>0</v>
      </c>
      <c r="L170" s="68">
        <v>0</v>
      </c>
      <c r="M170" s="20">
        <v>0</v>
      </c>
      <c r="N170" s="20">
        <v>0</v>
      </c>
      <c r="O170" s="70">
        <f t="shared" si="12"/>
        <v>0</v>
      </c>
      <c r="P170" s="71">
        <f t="shared" si="14"/>
        <v>0</v>
      </c>
      <c r="R170" s="4"/>
      <c r="S170" s="4"/>
      <c r="T170" s="4"/>
      <c r="U170" s="4"/>
    </row>
    <row r="171" spans="1:21" ht="10.5" customHeight="1" thickBot="1">
      <c r="A171" s="62">
        <v>53</v>
      </c>
      <c r="B171" s="97" t="s">
        <v>215</v>
      </c>
      <c r="C171" s="73">
        <f>608+8</f>
        <v>616</v>
      </c>
      <c r="D171" s="73">
        <f>463+7</f>
        <v>470</v>
      </c>
      <c r="E171" s="73">
        <f>154+17</f>
        <v>171</v>
      </c>
      <c r="F171" s="74">
        <v>0</v>
      </c>
      <c r="G171" s="73">
        <v>0</v>
      </c>
      <c r="H171" s="63">
        <v>0</v>
      </c>
      <c r="I171" s="63">
        <v>0</v>
      </c>
      <c r="J171" s="63">
        <v>0</v>
      </c>
      <c r="K171" s="63">
        <v>0</v>
      </c>
      <c r="L171" s="68">
        <v>0</v>
      </c>
      <c r="M171" s="20">
        <v>0</v>
      </c>
      <c r="N171" s="20">
        <v>0</v>
      </c>
      <c r="O171" s="75">
        <f t="shared" si="12"/>
        <v>1257</v>
      </c>
      <c r="P171" s="76">
        <f t="shared" si="14"/>
        <v>0.1196568504260812</v>
      </c>
      <c r="R171" s="4"/>
      <c r="S171" s="4"/>
      <c r="T171" s="4"/>
      <c r="U171" s="4"/>
    </row>
    <row r="172" spans="1:21" ht="14.25" thickBot="1" thickTop="1">
      <c r="A172" s="57" t="s">
        <v>38</v>
      </c>
      <c r="B172" s="98" t="s">
        <v>39</v>
      </c>
      <c r="C172" s="58">
        <f aca="true" t="shared" si="15" ref="C172:I172">SUM(C173:C194)</f>
        <v>10009</v>
      </c>
      <c r="D172" s="58">
        <f t="shared" si="15"/>
        <v>5320</v>
      </c>
      <c r="E172" s="58">
        <f t="shared" si="15"/>
        <v>1791</v>
      </c>
      <c r="F172" s="58">
        <f t="shared" si="15"/>
        <v>3</v>
      </c>
      <c r="G172" s="58">
        <f t="shared" si="15"/>
        <v>0</v>
      </c>
      <c r="H172" s="58">
        <f t="shared" si="15"/>
        <v>0</v>
      </c>
      <c r="I172" s="58">
        <f t="shared" si="15"/>
        <v>0</v>
      </c>
      <c r="J172" s="58">
        <f>SUM(J173:J194)</f>
        <v>0</v>
      </c>
      <c r="K172" s="58">
        <f>SUM(K173:K194)</f>
        <v>0</v>
      </c>
      <c r="L172" s="58">
        <f>SUM(L173:L194)</f>
        <v>0</v>
      </c>
      <c r="M172" s="58">
        <f>SUM(M173:M194)</f>
        <v>0</v>
      </c>
      <c r="N172" s="58">
        <f>SUM(N173:N194)</f>
        <v>0</v>
      </c>
      <c r="O172" s="41">
        <f t="shared" si="12"/>
        <v>17123</v>
      </c>
      <c r="P172" s="59">
        <f t="shared" si="14"/>
        <v>1.6299795145948992</v>
      </c>
      <c r="R172" s="4"/>
      <c r="S172" s="4"/>
      <c r="T172" s="4"/>
      <c r="U172" s="4"/>
    </row>
    <row r="173" spans="1:21" ht="13.5" thickTop="1">
      <c r="A173" s="60">
        <v>1</v>
      </c>
      <c r="B173" s="99" t="s">
        <v>197</v>
      </c>
      <c r="C173" s="44">
        <v>3934</v>
      </c>
      <c r="D173" s="44">
        <v>992</v>
      </c>
      <c r="E173" s="44">
        <f>263-57</f>
        <v>206</v>
      </c>
      <c r="F173" s="45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20">
        <v>0</v>
      </c>
      <c r="N173" s="20">
        <v>0</v>
      </c>
      <c r="O173" s="46">
        <f t="shared" si="12"/>
        <v>5132</v>
      </c>
      <c r="P173" s="47">
        <f t="shared" si="14"/>
        <v>0.4885274116043347</v>
      </c>
      <c r="Q173" s="7"/>
      <c r="R173" s="4"/>
      <c r="S173" s="3"/>
      <c r="T173" s="4"/>
      <c r="U173" s="4"/>
    </row>
    <row r="174" spans="1:21" ht="12.75">
      <c r="A174" s="60">
        <v>2</v>
      </c>
      <c r="B174" s="19" t="s">
        <v>122</v>
      </c>
      <c r="C174" s="20">
        <v>7</v>
      </c>
      <c r="D174" s="20">
        <v>2</v>
      </c>
      <c r="E174" s="20">
        <v>1</v>
      </c>
      <c r="F174" s="21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44">
        <v>0</v>
      </c>
      <c r="M174" s="20">
        <v>0</v>
      </c>
      <c r="N174" s="20">
        <v>0</v>
      </c>
      <c r="O174" s="22">
        <f t="shared" si="12"/>
        <v>10</v>
      </c>
      <c r="P174" s="23">
        <f t="shared" si="14"/>
        <v>0.0009519240288471057</v>
      </c>
      <c r="R174" s="4"/>
      <c r="S174" s="4"/>
      <c r="T174" s="4"/>
      <c r="U174" s="4"/>
    </row>
    <row r="175" spans="1:21" ht="12.75">
      <c r="A175" s="60">
        <v>3</v>
      </c>
      <c r="B175" s="105" t="s">
        <v>131</v>
      </c>
      <c r="C175" s="20">
        <v>67</v>
      </c>
      <c r="D175" s="20">
        <v>40</v>
      </c>
      <c r="E175" s="20">
        <v>15</v>
      </c>
      <c r="F175" s="21">
        <v>0</v>
      </c>
      <c r="G175" s="44">
        <v>0</v>
      </c>
      <c r="H175" s="44">
        <v>0</v>
      </c>
      <c r="I175" s="44">
        <v>0</v>
      </c>
      <c r="J175" s="20">
        <v>0</v>
      </c>
      <c r="K175" s="44">
        <v>0</v>
      </c>
      <c r="L175" s="44">
        <v>0</v>
      </c>
      <c r="M175" s="20">
        <v>0</v>
      </c>
      <c r="N175" s="20">
        <v>0</v>
      </c>
      <c r="O175" s="22">
        <f t="shared" si="12"/>
        <v>122</v>
      </c>
      <c r="P175" s="23">
        <f t="shared" si="14"/>
        <v>0.01161347315193469</v>
      </c>
      <c r="R175" s="4"/>
      <c r="S175" s="3"/>
      <c r="T175" s="4"/>
      <c r="U175" s="4"/>
    </row>
    <row r="176" spans="1:21" ht="12.75">
      <c r="A176" s="60">
        <v>4</v>
      </c>
      <c r="B176" s="67" t="s">
        <v>156</v>
      </c>
      <c r="C176" s="68">
        <v>89</v>
      </c>
      <c r="D176" s="68">
        <f>84+1</f>
        <v>85</v>
      </c>
      <c r="E176" s="68">
        <v>34</v>
      </c>
      <c r="F176" s="69">
        <v>1</v>
      </c>
      <c r="G176" s="20">
        <v>0</v>
      </c>
      <c r="H176" s="20">
        <v>0</v>
      </c>
      <c r="I176" s="20">
        <v>0</v>
      </c>
      <c r="J176" s="44">
        <v>0</v>
      </c>
      <c r="K176" s="20">
        <v>0</v>
      </c>
      <c r="L176" s="44">
        <v>0</v>
      </c>
      <c r="M176" s="20">
        <v>0</v>
      </c>
      <c r="N176" s="20">
        <v>0</v>
      </c>
      <c r="O176" s="70">
        <f>SUM(C176:N176)</f>
        <v>209</v>
      </c>
      <c r="P176" s="23">
        <f t="shared" si="14"/>
        <v>0.01989521220290451</v>
      </c>
      <c r="R176" s="4"/>
      <c r="S176" s="4"/>
      <c r="T176" s="4"/>
      <c r="U176" s="4"/>
    </row>
    <row r="177" spans="1:21" ht="12.75">
      <c r="A177" s="60">
        <v>5</v>
      </c>
      <c r="B177" s="79" t="s">
        <v>40</v>
      </c>
      <c r="C177" s="20">
        <v>0</v>
      </c>
      <c r="D177" s="20">
        <v>0</v>
      </c>
      <c r="E177" s="20">
        <v>0</v>
      </c>
      <c r="F177" s="21">
        <v>0</v>
      </c>
      <c r="G177" s="44">
        <v>0</v>
      </c>
      <c r="H177" s="44">
        <v>0</v>
      </c>
      <c r="I177" s="44">
        <v>0</v>
      </c>
      <c r="J177" s="20">
        <v>0</v>
      </c>
      <c r="K177" s="44">
        <v>0</v>
      </c>
      <c r="L177" s="44">
        <v>0</v>
      </c>
      <c r="M177" s="20">
        <v>0</v>
      </c>
      <c r="N177" s="20">
        <v>0</v>
      </c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60">
        <v>6</v>
      </c>
      <c r="B178" s="79" t="s">
        <v>59</v>
      </c>
      <c r="C178" s="20">
        <v>204</v>
      </c>
      <c r="D178" s="20">
        <v>117</v>
      </c>
      <c r="E178" s="20">
        <v>43</v>
      </c>
      <c r="F178" s="21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44">
        <v>0</v>
      </c>
      <c r="M178" s="20">
        <v>0</v>
      </c>
      <c r="N178" s="20">
        <v>0</v>
      </c>
      <c r="O178" s="22">
        <f t="shared" si="12"/>
        <v>364</v>
      </c>
      <c r="P178" s="23">
        <f t="shared" si="14"/>
        <v>0.03465003465003465</v>
      </c>
      <c r="R178" s="4"/>
      <c r="S178" s="4"/>
      <c r="T178" s="4"/>
      <c r="U178" s="4"/>
    </row>
    <row r="179" spans="1:21" ht="12.75">
      <c r="A179" s="60">
        <v>7</v>
      </c>
      <c r="B179" s="19" t="s">
        <v>174</v>
      </c>
      <c r="C179" s="20">
        <v>489</v>
      </c>
      <c r="D179" s="20">
        <v>373</v>
      </c>
      <c r="E179" s="20">
        <v>24</v>
      </c>
      <c r="F179" s="21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20">
        <v>0</v>
      </c>
      <c r="N179" s="20">
        <v>0</v>
      </c>
      <c r="O179" s="22">
        <f t="shared" si="12"/>
        <v>886</v>
      </c>
      <c r="P179" s="23">
        <f t="shared" si="14"/>
        <v>0.08434046895585356</v>
      </c>
      <c r="R179" s="4"/>
      <c r="S179" s="4"/>
      <c r="T179" s="4"/>
      <c r="U179" s="4"/>
    </row>
    <row r="180" spans="1:21" ht="12.75">
      <c r="A180" s="60">
        <v>8</v>
      </c>
      <c r="B180" s="100" t="s">
        <v>35</v>
      </c>
      <c r="C180" s="68">
        <v>0</v>
      </c>
      <c r="D180" s="68">
        <v>0</v>
      </c>
      <c r="E180" s="68">
        <v>0</v>
      </c>
      <c r="F180" s="69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44">
        <v>0</v>
      </c>
      <c r="M180" s="20">
        <v>0</v>
      </c>
      <c r="N180" s="20">
        <v>0</v>
      </c>
      <c r="O180" s="70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60">
        <v>9</v>
      </c>
      <c r="B181" s="79" t="s">
        <v>176</v>
      </c>
      <c r="C181" s="20">
        <v>307</v>
      </c>
      <c r="D181" s="20">
        <v>125</v>
      </c>
      <c r="E181" s="20">
        <v>18</v>
      </c>
      <c r="F181" s="21">
        <v>0</v>
      </c>
      <c r="G181" s="44">
        <v>0</v>
      </c>
      <c r="H181" s="44">
        <v>0</v>
      </c>
      <c r="I181" s="44">
        <v>0</v>
      </c>
      <c r="J181" s="20">
        <v>0</v>
      </c>
      <c r="K181" s="44">
        <v>0</v>
      </c>
      <c r="L181" s="44">
        <v>0</v>
      </c>
      <c r="M181" s="20">
        <v>0</v>
      </c>
      <c r="N181" s="20">
        <v>0</v>
      </c>
      <c r="O181" s="22">
        <f>SUM(C181:N181)</f>
        <v>450</v>
      </c>
      <c r="P181" s="23">
        <f>O181/$O$196*100</f>
        <v>0.042836581298119764</v>
      </c>
      <c r="R181" s="4"/>
      <c r="S181" s="4"/>
      <c r="T181" s="4"/>
      <c r="U181" s="4"/>
    </row>
    <row r="182" spans="1:21" ht="12.75">
      <c r="A182" s="60">
        <v>10</v>
      </c>
      <c r="B182" s="79" t="s">
        <v>114</v>
      </c>
      <c r="C182" s="77">
        <v>208</v>
      </c>
      <c r="D182" s="77">
        <v>168</v>
      </c>
      <c r="E182" s="77">
        <v>74</v>
      </c>
      <c r="F182" s="78">
        <v>0</v>
      </c>
      <c r="G182" s="20">
        <v>0</v>
      </c>
      <c r="H182" s="20">
        <v>0</v>
      </c>
      <c r="I182" s="20">
        <v>0</v>
      </c>
      <c r="J182" s="44">
        <v>0</v>
      </c>
      <c r="K182" s="20">
        <v>0</v>
      </c>
      <c r="L182" s="44">
        <v>0</v>
      </c>
      <c r="M182" s="20">
        <v>0</v>
      </c>
      <c r="N182" s="20">
        <v>0</v>
      </c>
      <c r="O182" s="22">
        <f t="shared" si="12"/>
        <v>450</v>
      </c>
      <c r="P182" s="23">
        <f t="shared" si="14"/>
        <v>0.042836581298119764</v>
      </c>
      <c r="R182" s="4"/>
      <c r="S182" s="4"/>
      <c r="T182" s="4"/>
      <c r="U182" s="4"/>
    </row>
    <row r="183" spans="1:21" ht="12.75">
      <c r="A183" s="60">
        <v>11</v>
      </c>
      <c r="B183" s="19" t="s">
        <v>115</v>
      </c>
      <c r="C183" s="20">
        <v>0</v>
      </c>
      <c r="D183" s="20">
        <v>0</v>
      </c>
      <c r="E183" s="20">
        <v>0</v>
      </c>
      <c r="F183" s="21">
        <v>0</v>
      </c>
      <c r="G183" s="44">
        <v>0</v>
      </c>
      <c r="H183" s="44">
        <v>0</v>
      </c>
      <c r="I183" s="44">
        <v>0</v>
      </c>
      <c r="J183" s="20">
        <v>0</v>
      </c>
      <c r="K183" s="44">
        <v>0</v>
      </c>
      <c r="L183" s="44">
        <v>0</v>
      </c>
      <c r="M183" s="20">
        <v>0</v>
      </c>
      <c r="N183" s="20">
        <v>0</v>
      </c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60">
        <v>12</v>
      </c>
      <c r="B184" s="19" t="s">
        <v>116</v>
      </c>
      <c r="C184" s="20">
        <v>162</v>
      </c>
      <c r="D184" s="20">
        <v>72</v>
      </c>
      <c r="E184" s="20">
        <v>73</v>
      </c>
      <c r="F184" s="21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44">
        <v>0</v>
      </c>
      <c r="M184" s="20">
        <v>0</v>
      </c>
      <c r="N184" s="20">
        <v>0</v>
      </c>
      <c r="O184" s="22">
        <f t="shared" si="12"/>
        <v>307</v>
      </c>
      <c r="P184" s="23">
        <f t="shared" si="14"/>
        <v>0.029224067685606148</v>
      </c>
      <c r="R184" s="4"/>
      <c r="S184" s="4"/>
      <c r="T184" s="4"/>
      <c r="U184" s="4"/>
    </row>
    <row r="185" spans="1:21" ht="12.75">
      <c r="A185" s="60">
        <v>13</v>
      </c>
      <c r="B185" s="79" t="s">
        <v>214</v>
      </c>
      <c r="C185" s="20">
        <f>1483+10</f>
        <v>1493</v>
      </c>
      <c r="D185" s="20">
        <f>1008+2</f>
        <v>1010</v>
      </c>
      <c r="E185" s="20">
        <f>479+6</f>
        <v>485</v>
      </c>
      <c r="F185" s="21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20">
        <v>0</v>
      </c>
      <c r="N185" s="20">
        <v>0</v>
      </c>
      <c r="O185" s="22">
        <f t="shared" si="12"/>
        <v>2988</v>
      </c>
      <c r="P185" s="23">
        <f t="shared" si="14"/>
        <v>0.2844348998195152</v>
      </c>
      <c r="Q185" s="7"/>
      <c r="R185" s="4"/>
      <c r="S185" s="3"/>
      <c r="T185" s="4"/>
      <c r="U185" s="4"/>
    </row>
    <row r="186" spans="1:21" ht="12.75">
      <c r="A186" s="60">
        <v>14</v>
      </c>
      <c r="B186" s="79" t="s">
        <v>189</v>
      </c>
      <c r="C186" s="20">
        <v>235</v>
      </c>
      <c r="D186" s="20">
        <v>136</v>
      </c>
      <c r="E186" s="20">
        <v>30</v>
      </c>
      <c r="F186" s="21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44">
        <v>0</v>
      </c>
      <c r="M186" s="20">
        <v>0</v>
      </c>
      <c r="N186" s="20">
        <v>0</v>
      </c>
      <c r="O186" s="22">
        <f t="shared" si="12"/>
        <v>401</v>
      </c>
      <c r="P186" s="23">
        <f t="shared" si="14"/>
        <v>0.038172153556768944</v>
      </c>
      <c r="R186" s="4"/>
      <c r="S186" s="4"/>
      <c r="T186" s="4"/>
      <c r="U186" s="4"/>
    </row>
    <row r="187" spans="1:21" ht="12.75">
      <c r="A187" s="60">
        <v>15</v>
      </c>
      <c r="B187" s="79" t="s">
        <v>55</v>
      </c>
      <c r="C187" s="20">
        <v>79</v>
      </c>
      <c r="D187" s="20">
        <v>62</v>
      </c>
      <c r="E187" s="20">
        <v>12</v>
      </c>
      <c r="F187" s="21">
        <v>0</v>
      </c>
      <c r="G187" s="44">
        <v>0</v>
      </c>
      <c r="H187" s="44">
        <v>0</v>
      </c>
      <c r="I187" s="44">
        <v>0</v>
      </c>
      <c r="J187" s="20">
        <v>0</v>
      </c>
      <c r="K187" s="44">
        <v>0</v>
      </c>
      <c r="L187" s="44">
        <v>0</v>
      </c>
      <c r="M187" s="20">
        <v>0</v>
      </c>
      <c r="N187" s="20">
        <v>0</v>
      </c>
      <c r="O187" s="22">
        <f t="shared" si="12"/>
        <v>153</v>
      </c>
      <c r="P187" s="23">
        <f>O187/$O$196*100</f>
        <v>0.014564437641360718</v>
      </c>
      <c r="Q187" s="7"/>
      <c r="R187" s="4"/>
      <c r="S187" s="4"/>
      <c r="T187" s="4"/>
      <c r="U187" s="4"/>
    </row>
    <row r="188" spans="1:21" ht="12.75">
      <c r="A188" s="60">
        <v>16</v>
      </c>
      <c r="B188" s="79" t="s">
        <v>195</v>
      </c>
      <c r="C188" s="20">
        <v>41</v>
      </c>
      <c r="D188" s="20">
        <v>40</v>
      </c>
      <c r="E188" s="20">
        <v>8</v>
      </c>
      <c r="F188" s="21">
        <v>1</v>
      </c>
      <c r="G188" s="20">
        <v>0</v>
      </c>
      <c r="H188" s="20">
        <v>0</v>
      </c>
      <c r="I188" s="20">
        <v>0</v>
      </c>
      <c r="J188" s="44">
        <v>0</v>
      </c>
      <c r="K188" s="20">
        <v>0</v>
      </c>
      <c r="L188" s="44">
        <v>0</v>
      </c>
      <c r="M188" s="20">
        <v>0</v>
      </c>
      <c r="N188" s="20">
        <v>0</v>
      </c>
      <c r="O188" s="22">
        <f t="shared" si="12"/>
        <v>90</v>
      </c>
      <c r="P188" s="23">
        <f t="shared" si="14"/>
        <v>0.008567316259623953</v>
      </c>
      <c r="R188" s="4"/>
      <c r="S188" s="4"/>
      <c r="T188" s="4"/>
      <c r="U188" s="4"/>
    </row>
    <row r="189" spans="1:21" s="15" customFormat="1" ht="12.75">
      <c r="A189" s="60">
        <v>17</v>
      </c>
      <c r="B189" s="79" t="s">
        <v>117</v>
      </c>
      <c r="C189" s="20">
        <v>69</v>
      </c>
      <c r="D189" s="20">
        <v>62</v>
      </c>
      <c r="E189" s="20">
        <v>28</v>
      </c>
      <c r="F189" s="21">
        <v>0</v>
      </c>
      <c r="G189" s="44">
        <v>0</v>
      </c>
      <c r="H189" s="44">
        <v>0</v>
      </c>
      <c r="I189" s="44">
        <v>0</v>
      </c>
      <c r="J189" s="20">
        <v>0</v>
      </c>
      <c r="K189" s="44">
        <v>0</v>
      </c>
      <c r="L189" s="44">
        <v>0</v>
      </c>
      <c r="M189" s="20">
        <v>0</v>
      </c>
      <c r="N189" s="20">
        <v>0</v>
      </c>
      <c r="O189" s="22">
        <f t="shared" si="12"/>
        <v>159</v>
      </c>
      <c r="P189" s="23">
        <f t="shared" si="14"/>
        <v>0.015135592058668983</v>
      </c>
      <c r="R189" s="16"/>
      <c r="S189" s="16"/>
      <c r="T189" s="16"/>
      <c r="U189" s="16"/>
    </row>
    <row r="190" spans="1:21" ht="12.75">
      <c r="A190" s="60">
        <v>18</v>
      </c>
      <c r="B190" s="19" t="s">
        <v>68</v>
      </c>
      <c r="C190" s="20">
        <v>236</v>
      </c>
      <c r="D190" s="20">
        <f>1+191</f>
        <v>192</v>
      </c>
      <c r="E190" s="20">
        <v>45</v>
      </c>
      <c r="F190" s="21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44">
        <v>0</v>
      </c>
      <c r="M190" s="20">
        <v>0</v>
      </c>
      <c r="N190" s="20">
        <v>0</v>
      </c>
      <c r="O190" s="22">
        <f t="shared" si="12"/>
        <v>473</v>
      </c>
      <c r="P190" s="23">
        <f t="shared" si="14"/>
        <v>0.0450260065644681</v>
      </c>
      <c r="R190" s="4"/>
      <c r="S190" s="4"/>
      <c r="T190" s="4"/>
      <c r="U190" s="4"/>
    </row>
    <row r="191" spans="1:21" ht="12.75">
      <c r="A191" s="60">
        <v>19</v>
      </c>
      <c r="B191" s="67" t="s">
        <v>118</v>
      </c>
      <c r="C191" s="68">
        <f>2313-568</f>
        <v>1745</v>
      </c>
      <c r="D191" s="68">
        <f>1473+2+1</f>
        <v>1476</v>
      </c>
      <c r="E191" s="20">
        <f>543+1</f>
        <v>544</v>
      </c>
      <c r="F191" s="21">
        <v>1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20">
        <v>0</v>
      </c>
      <c r="N191" s="20">
        <v>0</v>
      </c>
      <c r="O191" s="22">
        <f t="shared" si="12"/>
        <v>3766</v>
      </c>
      <c r="P191" s="23">
        <f t="shared" si="14"/>
        <v>0.35849458926382005</v>
      </c>
      <c r="R191" s="4"/>
      <c r="S191" s="4"/>
      <c r="T191" s="4"/>
      <c r="U191" s="4"/>
    </row>
    <row r="192" spans="1:21" ht="12.75">
      <c r="A192" s="60">
        <v>20</v>
      </c>
      <c r="B192" s="19" t="s">
        <v>119</v>
      </c>
      <c r="C192" s="20">
        <v>243</v>
      </c>
      <c r="D192" s="20">
        <v>78</v>
      </c>
      <c r="E192" s="20">
        <v>55</v>
      </c>
      <c r="F192" s="21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44">
        <v>0</v>
      </c>
      <c r="M192" s="20">
        <v>0</v>
      </c>
      <c r="N192" s="20">
        <v>0</v>
      </c>
      <c r="O192" s="22">
        <f t="shared" si="12"/>
        <v>376</v>
      </c>
      <c r="P192" s="23">
        <f t="shared" si="14"/>
        <v>0.03579234348465118</v>
      </c>
      <c r="R192" s="4"/>
      <c r="S192" s="3"/>
      <c r="T192" s="4"/>
      <c r="U192" s="4"/>
    </row>
    <row r="193" spans="1:21" ht="12.75">
      <c r="A193" s="60">
        <v>21</v>
      </c>
      <c r="B193" s="101" t="s">
        <v>120</v>
      </c>
      <c r="C193" s="80">
        <f>1+115</f>
        <v>116</v>
      </c>
      <c r="D193" s="80">
        <v>91</v>
      </c>
      <c r="E193" s="80">
        <f>19+2</f>
        <v>21</v>
      </c>
      <c r="F193" s="81">
        <v>0</v>
      </c>
      <c r="G193" s="44">
        <v>0</v>
      </c>
      <c r="H193" s="44">
        <v>0</v>
      </c>
      <c r="I193" s="44">
        <v>0</v>
      </c>
      <c r="J193" s="20">
        <v>0</v>
      </c>
      <c r="K193" s="44">
        <v>0</v>
      </c>
      <c r="L193" s="44">
        <v>0</v>
      </c>
      <c r="M193" s="20">
        <v>0</v>
      </c>
      <c r="N193" s="20">
        <v>0</v>
      </c>
      <c r="O193" s="22">
        <f t="shared" si="12"/>
        <v>228</v>
      </c>
      <c r="P193" s="82">
        <f t="shared" si="14"/>
        <v>0.02170386785771401</v>
      </c>
      <c r="Q193" s="13"/>
      <c r="R193" s="4"/>
      <c r="S193" s="4"/>
      <c r="T193" s="4"/>
      <c r="U193" s="4"/>
    </row>
    <row r="194" spans="1:21" ht="13.5" thickBot="1">
      <c r="A194" s="60">
        <v>22</v>
      </c>
      <c r="B194" s="61" t="s">
        <v>121</v>
      </c>
      <c r="C194" s="49">
        <v>285</v>
      </c>
      <c r="D194" s="49">
        <v>199</v>
      </c>
      <c r="E194" s="49">
        <v>75</v>
      </c>
      <c r="F194" s="50">
        <v>0</v>
      </c>
      <c r="G194" s="20">
        <v>0</v>
      </c>
      <c r="H194" s="20">
        <v>0</v>
      </c>
      <c r="I194" s="20">
        <v>0</v>
      </c>
      <c r="J194" s="44">
        <v>0</v>
      </c>
      <c r="K194" s="20">
        <v>0</v>
      </c>
      <c r="L194" s="44">
        <v>0</v>
      </c>
      <c r="M194" s="20">
        <v>0</v>
      </c>
      <c r="N194" s="20">
        <v>0</v>
      </c>
      <c r="O194" s="41">
        <f t="shared" si="12"/>
        <v>559</v>
      </c>
      <c r="P194" s="51">
        <f t="shared" si="14"/>
        <v>0.053212553212553214</v>
      </c>
      <c r="Q194" s="13"/>
      <c r="R194" s="4"/>
      <c r="S194" s="4"/>
      <c r="T194" s="4"/>
      <c r="U194" s="4"/>
    </row>
    <row r="195" spans="1:21" ht="20.25" customHeight="1" thickBot="1" thickTop="1">
      <c r="A195" s="83" t="s">
        <v>45</v>
      </c>
      <c r="B195" s="84" t="s">
        <v>46</v>
      </c>
      <c r="C195" s="85">
        <f>5+6+3+2+4+13+3+2+6+4+1+4+6+1+6+41+1+10+4+6+1</f>
        <v>129</v>
      </c>
      <c r="D195" s="85">
        <v>151</v>
      </c>
      <c r="E195" s="85">
        <f>1+2+2+4+1+1+1+1+8+2+334+2+1</f>
        <v>360</v>
      </c>
      <c r="F195" s="86">
        <v>53</v>
      </c>
      <c r="G195" s="85">
        <v>8</v>
      </c>
      <c r="H195" s="85">
        <v>0</v>
      </c>
      <c r="I195" s="85">
        <v>0</v>
      </c>
      <c r="J195" s="85">
        <v>0</v>
      </c>
      <c r="K195" s="85">
        <v>5</v>
      </c>
      <c r="L195" s="85">
        <v>0</v>
      </c>
      <c r="M195" s="85">
        <v>0</v>
      </c>
      <c r="N195" s="85">
        <v>100</v>
      </c>
      <c r="O195" s="41">
        <f>SUM(C195:N195)</f>
        <v>806</v>
      </c>
      <c r="P195" s="87">
        <f>O195/$O$196*100</f>
        <v>0.07672507672507672</v>
      </c>
      <c r="R195" s="4"/>
      <c r="S195" s="4"/>
      <c r="T195" s="4"/>
      <c r="U195" s="4"/>
    </row>
    <row r="196" spans="1:26" ht="18" customHeight="1" thickBot="1" thickTop="1">
      <c r="A196" s="88"/>
      <c r="B196" s="102" t="s">
        <v>12</v>
      </c>
      <c r="C196" s="75">
        <f aca="true" t="shared" si="16" ref="C196:M196">C5+C34+C44+C83+C118+C172+C195</f>
        <v>528883</v>
      </c>
      <c r="D196" s="75">
        <f>D5+D34+D44+D83+D118+D172+D195</f>
        <v>363937</v>
      </c>
      <c r="E196" s="75">
        <f>E5+E34+E44+E83+E118+E172+E195</f>
        <v>156876</v>
      </c>
      <c r="F196" s="75">
        <f t="shared" si="16"/>
        <v>327</v>
      </c>
      <c r="G196" s="75">
        <f t="shared" si="16"/>
        <v>36</v>
      </c>
      <c r="H196" s="75">
        <f>H5+H34+H44+H83+H118+H172+H195</f>
        <v>32</v>
      </c>
      <c r="I196" s="75">
        <f>I5+I34+I44+I83+I118+I172+I195</f>
        <v>47</v>
      </c>
      <c r="J196" s="75">
        <f t="shared" si="16"/>
        <v>22</v>
      </c>
      <c r="K196" s="75">
        <f>K5+K34+K44+K83+K118+K172+K195</f>
        <v>83</v>
      </c>
      <c r="L196" s="75">
        <f t="shared" si="16"/>
        <v>58</v>
      </c>
      <c r="M196" s="75">
        <f t="shared" si="16"/>
        <v>53</v>
      </c>
      <c r="N196" s="75">
        <f>N5+N34+N44+N83+N118+N172+N195</f>
        <v>150</v>
      </c>
      <c r="O196" s="75">
        <f>O5+O34+O44+O83+O118+O172+O195</f>
        <v>1050504</v>
      </c>
      <c r="P196" s="103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20" t="s">
        <v>218</v>
      </c>
      <c r="B197" s="106"/>
      <c r="C197" s="90"/>
      <c r="D197" s="90" t="s">
        <v>41</v>
      </c>
      <c r="E197" s="90"/>
      <c r="F197" s="90"/>
      <c r="G197" s="90"/>
      <c r="H197" s="26"/>
      <c r="I197" s="90"/>
      <c r="J197" s="90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90" t="s">
        <v>221</v>
      </c>
      <c r="B198" s="89"/>
      <c r="C198" s="90"/>
      <c r="D198" s="90"/>
      <c r="E198" s="91"/>
      <c r="F198" s="91"/>
      <c r="G198" s="89"/>
      <c r="H198" s="26"/>
      <c r="I198" s="90"/>
      <c r="J198" s="91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90" t="s">
        <v>223</v>
      </c>
      <c r="B199" s="89"/>
      <c r="C199" s="90"/>
      <c r="D199" s="90"/>
      <c r="E199" s="91"/>
      <c r="F199" s="91"/>
      <c r="G199" s="89"/>
      <c r="H199" s="26"/>
      <c r="I199" s="91"/>
      <c r="J199" s="91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90" t="s">
        <v>224</v>
      </c>
      <c r="B200" s="89"/>
      <c r="C200" s="90"/>
      <c r="D200" s="90"/>
      <c r="E200" s="90"/>
      <c r="F200" s="90"/>
      <c r="G200" s="91"/>
      <c r="H200" s="26"/>
      <c r="I200" s="91"/>
      <c r="J200" s="91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92"/>
      <c r="B201" s="24"/>
      <c r="C201" s="24"/>
      <c r="D201" s="24"/>
      <c r="E201" s="24"/>
      <c r="F201" s="24"/>
      <c r="G201" s="104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92"/>
      <c r="B202" s="25"/>
      <c r="C202" s="25"/>
      <c r="D202" s="93"/>
      <c r="E202" s="93"/>
      <c r="F202" s="94"/>
      <c r="G202" s="94"/>
      <c r="H202" s="25"/>
      <c r="I202" s="25"/>
      <c r="J202" s="93"/>
      <c r="K202" s="25"/>
      <c r="L202" s="94"/>
      <c r="M202" s="25"/>
      <c r="N202" s="94"/>
      <c r="O202" s="93"/>
      <c r="P202" s="94"/>
      <c r="R202" s="11"/>
      <c r="S202" s="11"/>
      <c r="T202" s="11"/>
      <c r="U202" s="11"/>
    </row>
    <row r="203" spans="1:21" ht="12.75">
      <c r="A203" s="94"/>
      <c r="B203" s="25"/>
      <c r="C203" s="25"/>
      <c r="D203" s="94"/>
      <c r="E203" s="94"/>
      <c r="F203" s="94"/>
      <c r="G203" s="119"/>
      <c r="H203" s="25"/>
      <c r="I203" s="25"/>
      <c r="J203" s="94"/>
      <c r="K203" s="25"/>
      <c r="L203" s="94"/>
      <c r="M203" s="94"/>
      <c r="N203" s="94"/>
      <c r="O203" s="94"/>
      <c r="P203" s="94"/>
      <c r="R203" s="11"/>
      <c r="S203" s="11"/>
      <c r="T203" s="11"/>
      <c r="U203" s="11"/>
    </row>
    <row r="204" spans="1:16" ht="12.75">
      <c r="A204" s="123">
        <v>2019</v>
      </c>
      <c r="B204" s="124" t="s">
        <v>56</v>
      </c>
      <c r="C204" s="125">
        <v>456218</v>
      </c>
      <c r="D204" s="125">
        <v>437537</v>
      </c>
      <c r="E204" s="125">
        <v>449637</v>
      </c>
      <c r="F204" s="125">
        <v>476327</v>
      </c>
      <c r="G204" s="125">
        <v>485795</v>
      </c>
      <c r="H204" s="125">
        <v>549751</v>
      </c>
      <c r="I204" s="125">
        <v>594279</v>
      </c>
      <c r="J204" s="125">
        <v>616706</v>
      </c>
      <c r="K204" s="125">
        <v>590565</v>
      </c>
      <c r="L204" s="125">
        <v>568067</v>
      </c>
      <c r="M204" s="125">
        <v>497925</v>
      </c>
      <c r="N204" s="125">
        <v>552403</v>
      </c>
      <c r="O204" s="126">
        <f>SUM(C204:N204)</f>
        <v>6275210</v>
      </c>
      <c r="P204" s="121"/>
    </row>
    <row r="205" spans="1:16" ht="12.75">
      <c r="A205" s="127"/>
      <c r="B205" s="128" t="s">
        <v>57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30"/>
      <c r="P205" s="121"/>
    </row>
    <row r="206" spans="1:19" ht="12.75">
      <c r="A206" s="123">
        <v>2020</v>
      </c>
      <c r="B206" s="124" t="s">
        <v>56</v>
      </c>
      <c r="C206" s="131">
        <f aca="true" t="shared" si="17" ref="C206:N206">C196</f>
        <v>528883</v>
      </c>
      <c r="D206" s="131">
        <f t="shared" si="17"/>
        <v>363937</v>
      </c>
      <c r="E206" s="131">
        <f t="shared" si="17"/>
        <v>156876</v>
      </c>
      <c r="F206" s="131">
        <f t="shared" si="17"/>
        <v>327</v>
      </c>
      <c r="G206" s="131">
        <f t="shared" si="17"/>
        <v>36</v>
      </c>
      <c r="H206" s="131">
        <f>H196</f>
        <v>32</v>
      </c>
      <c r="I206" s="131">
        <f t="shared" si="17"/>
        <v>47</v>
      </c>
      <c r="J206" s="131">
        <f t="shared" si="17"/>
        <v>22</v>
      </c>
      <c r="K206" s="131">
        <f t="shared" si="17"/>
        <v>83</v>
      </c>
      <c r="L206" s="131">
        <f t="shared" si="17"/>
        <v>58</v>
      </c>
      <c r="M206" s="131">
        <f t="shared" si="17"/>
        <v>53</v>
      </c>
      <c r="N206" s="131">
        <f t="shared" si="17"/>
        <v>150</v>
      </c>
      <c r="O206" s="132">
        <f>SUM(C206:N206)</f>
        <v>1050504</v>
      </c>
      <c r="P206" s="121"/>
      <c r="Q206" s="8"/>
      <c r="R206" s="14"/>
      <c r="S206" s="7"/>
    </row>
    <row r="207" spans="1:16" ht="12.75">
      <c r="A207" s="127"/>
      <c r="B207" s="128" t="s">
        <v>57</v>
      </c>
      <c r="C207" s="129">
        <f aca="true" t="shared" si="18" ref="C207:I207">(C206-C204)/C204*100</f>
        <v>15.92769246281383</v>
      </c>
      <c r="D207" s="129">
        <f t="shared" si="18"/>
        <v>-16.821434530108313</v>
      </c>
      <c r="E207" s="129">
        <f t="shared" si="18"/>
        <v>-65.11052248814043</v>
      </c>
      <c r="F207" s="129">
        <f t="shared" si="18"/>
        <v>-99.93134968204616</v>
      </c>
      <c r="G207" s="129">
        <f t="shared" si="18"/>
        <v>-99.99258946675039</v>
      </c>
      <c r="H207" s="129">
        <f t="shared" si="18"/>
        <v>-99.99417918293918</v>
      </c>
      <c r="I207" s="129">
        <f t="shared" si="18"/>
        <v>-99.99209125680025</v>
      </c>
      <c r="J207" s="129">
        <f aca="true" t="shared" si="19" ref="J207:O207">(J206-J204)/J204*100</f>
        <v>-99.99643265997088</v>
      </c>
      <c r="K207" s="129">
        <f t="shared" si="19"/>
        <v>-99.98594566220483</v>
      </c>
      <c r="L207" s="129">
        <f t="shared" si="19"/>
        <v>-99.98978993675041</v>
      </c>
      <c r="M207" s="129">
        <f t="shared" si="19"/>
        <v>-99.98935582668072</v>
      </c>
      <c r="N207" s="129">
        <f t="shared" si="19"/>
        <v>-99.97284591140888</v>
      </c>
      <c r="O207" s="129">
        <f t="shared" si="19"/>
        <v>-83.25946063956425</v>
      </c>
      <c r="P207" s="121"/>
    </row>
    <row r="208" spans="1:16" ht="12.75">
      <c r="A208" s="25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121"/>
    </row>
    <row r="209" spans="1:16" ht="12.75">
      <c r="A209" s="133"/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22"/>
    </row>
    <row r="210" spans="1:16" ht="12.75">
      <c r="A210" s="133"/>
      <c r="B210" s="134" t="s">
        <v>222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22"/>
    </row>
    <row r="211" spans="1:16" ht="12.75">
      <c r="A211" s="94"/>
      <c r="B211" s="137" t="s">
        <v>219</v>
      </c>
      <c r="C211" s="138">
        <f>C204+D204+E204+F204+G204+H204+I204+J204+K204+L204+M204+N204</f>
        <v>6275210</v>
      </c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121"/>
    </row>
    <row r="212" spans="1:16" ht="12.75">
      <c r="A212" s="94"/>
      <c r="B212" s="139">
        <v>2020</v>
      </c>
      <c r="C212" s="138">
        <f>SUM(C206+D206+E206+F206+G206+H196+I206+J206+K206+L206+M206+N206)</f>
        <v>1050504</v>
      </c>
      <c r="D212" s="140"/>
      <c r="E212" s="141"/>
      <c r="F212" s="141"/>
      <c r="G212" s="140"/>
      <c r="H212" s="140"/>
      <c r="I212" s="140"/>
      <c r="J212" s="140"/>
      <c r="K212" s="140"/>
      <c r="L212" s="94"/>
      <c r="M212" s="94"/>
      <c r="N212" s="94"/>
      <c r="O212" s="25"/>
      <c r="P212" s="121"/>
    </row>
    <row r="213" spans="1:16" ht="12.75">
      <c r="A213" s="121"/>
      <c r="B213" s="121"/>
      <c r="C213" s="121"/>
      <c r="D213" s="121"/>
      <c r="E213" s="121"/>
      <c r="F213" s="121"/>
      <c r="G213" s="121"/>
      <c r="H213" s="121"/>
      <c r="I213" s="121"/>
      <c r="J213" s="107"/>
      <c r="K213" s="121"/>
      <c r="L213" s="121"/>
      <c r="M213" s="121"/>
      <c r="N213" s="121"/>
      <c r="O213" s="121"/>
      <c r="P213" s="121"/>
    </row>
    <row r="214" spans="1:16" ht="12.75">
      <c r="A214" s="94"/>
      <c r="B214" s="94"/>
      <c r="C214" s="118">
        <f>SUM(C212-C211)/C211</f>
        <v>-0.8325946063956425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94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I Ketut Merta Yasa</cp:lastModifiedBy>
  <cp:lastPrinted>2021-01-11T02:50:54Z</cp:lastPrinted>
  <dcterms:created xsi:type="dcterms:W3CDTF">2007-02-13T23:51:58Z</dcterms:created>
  <dcterms:modified xsi:type="dcterms:W3CDTF">2021-02-04T07:03:56Z</dcterms:modified>
  <cp:category/>
  <cp:version/>
  <cp:contentType/>
  <cp:contentStatus/>
</cp:coreProperties>
</file>