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640" windowHeight="11760"/>
  </bookViews>
  <sheets>
    <sheet name="Table 17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2" i="1"/>
  <c r="H162"/>
  <c r="I161"/>
  <c r="H161"/>
  <c r="I160"/>
  <c r="H160"/>
  <c r="I159"/>
  <c r="I158"/>
  <c r="I157"/>
  <c r="I156"/>
  <c r="H156"/>
  <c r="I155"/>
  <c r="H155"/>
  <c r="I154"/>
  <c r="H154"/>
  <c r="H153"/>
  <c r="H114"/>
  <c r="I113"/>
  <c r="H113"/>
  <c r="I112"/>
  <c r="H112"/>
  <c r="I110"/>
  <c r="H110"/>
  <c r="O232" l="1"/>
  <c r="N232"/>
  <c r="O217"/>
  <c r="N217"/>
  <c r="O176"/>
  <c r="N176"/>
  <c r="O119"/>
  <c r="N119"/>
  <c r="O93"/>
  <c r="N93"/>
  <c r="O84"/>
  <c r="N84"/>
  <c r="O76"/>
  <c r="N76"/>
  <c r="O47"/>
  <c r="N47"/>
  <c r="O38"/>
  <c r="N38"/>
  <c r="O233" l="1"/>
  <c r="N233"/>
  <c r="L38"/>
  <c r="L47"/>
  <c r="L76"/>
  <c r="L84"/>
  <c r="L93"/>
  <c r="L119"/>
  <c r="L176"/>
  <c r="L217"/>
  <c r="L232"/>
  <c r="M38"/>
  <c r="M47"/>
  <c r="M76"/>
  <c r="M84"/>
  <c r="M93"/>
  <c r="M119"/>
  <c r="M176"/>
  <c r="M217"/>
  <c r="M232"/>
  <c r="M8"/>
  <c r="O8" s="1"/>
  <c r="L8"/>
  <c r="N8" s="1"/>
  <c r="K231"/>
  <c r="K230"/>
  <c r="J230"/>
  <c r="K229"/>
  <c r="J229"/>
  <c r="K225"/>
  <c r="J225"/>
  <c r="K228"/>
  <c r="J228"/>
  <c r="K219"/>
  <c r="J219"/>
  <c r="K224"/>
  <c r="J224"/>
  <c r="K223"/>
  <c r="J223"/>
  <c r="K222"/>
  <c r="J222"/>
  <c r="K220"/>
  <c r="J220"/>
  <c r="J119"/>
  <c r="K119"/>
  <c r="K76"/>
  <c r="K87"/>
  <c r="K91"/>
  <c r="K89"/>
  <c r="J87"/>
  <c r="K86"/>
  <c r="J86"/>
  <c r="J176"/>
  <c r="J38"/>
  <c r="J47"/>
  <c r="J76"/>
  <c r="J84"/>
  <c r="J217"/>
  <c r="K176"/>
  <c r="K217"/>
  <c r="K84"/>
  <c r="K47"/>
  <c r="K38"/>
  <c r="G217"/>
  <c r="F217"/>
  <c r="E217"/>
  <c r="G176"/>
  <c r="F176"/>
  <c r="E176"/>
  <c r="G119"/>
  <c r="F119"/>
  <c r="E119"/>
  <c r="G93"/>
  <c r="F93"/>
  <c r="E93"/>
  <c r="G84"/>
  <c r="F84"/>
  <c r="E84"/>
  <c r="G76"/>
  <c r="F76"/>
  <c r="E76"/>
  <c r="G47"/>
  <c r="F47"/>
  <c r="E47"/>
  <c r="G38"/>
  <c r="F38"/>
  <c r="E38"/>
  <c r="G232"/>
  <c r="F232"/>
  <c r="E232"/>
  <c r="I231"/>
  <c r="I230"/>
  <c r="H230"/>
  <c r="I229"/>
  <c r="H229"/>
  <c r="I228"/>
  <c r="H228"/>
  <c r="I225"/>
  <c r="H225"/>
  <c r="I224"/>
  <c r="H224"/>
  <c r="I223"/>
  <c r="H223"/>
  <c r="I222"/>
  <c r="H222"/>
  <c r="I220"/>
  <c r="H220"/>
  <c r="I219"/>
  <c r="H219"/>
  <c r="I217"/>
  <c r="H217"/>
  <c r="I150"/>
  <c r="H150"/>
  <c r="I148"/>
  <c r="H148"/>
  <c r="H146"/>
  <c r="I144"/>
  <c r="I141"/>
  <c r="H141"/>
  <c r="I139"/>
  <c r="H139"/>
  <c r="I138"/>
  <c r="H138"/>
  <c r="I137"/>
  <c r="H137"/>
  <c r="I136"/>
  <c r="H136"/>
  <c r="I135"/>
  <c r="H135"/>
  <c r="I134"/>
  <c r="H134"/>
  <c r="I133"/>
  <c r="H133"/>
  <c r="I130"/>
  <c r="H130"/>
  <c r="I129"/>
  <c r="H129"/>
  <c r="H128"/>
  <c r="I127"/>
  <c r="H127"/>
  <c r="I126"/>
  <c r="H126"/>
  <c r="I125"/>
  <c r="H125"/>
  <c r="I124"/>
  <c r="H124"/>
  <c r="I123"/>
  <c r="H123"/>
  <c r="I122"/>
  <c r="H122"/>
  <c r="I121"/>
  <c r="H121"/>
  <c r="I106"/>
  <c r="H106"/>
  <c r="I104"/>
  <c r="H104"/>
  <c r="I103"/>
  <c r="H103"/>
  <c r="I102"/>
  <c r="I101"/>
  <c r="H101"/>
  <c r="I100"/>
  <c r="I99"/>
  <c r="H99"/>
  <c r="I98"/>
  <c r="H98"/>
  <c r="I97"/>
  <c r="H97"/>
  <c r="I96"/>
  <c r="H96"/>
  <c r="I95"/>
  <c r="H95"/>
  <c r="I91"/>
  <c r="H91"/>
  <c r="I89"/>
  <c r="I87"/>
  <c r="H87"/>
  <c r="I86"/>
  <c r="H86"/>
  <c r="I84"/>
  <c r="H84"/>
  <c r="I76"/>
  <c r="H76"/>
  <c r="I47"/>
  <c r="H47"/>
  <c r="I38"/>
  <c r="H38"/>
  <c r="I119" l="1"/>
  <c r="H176"/>
  <c r="E233"/>
  <c r="K232"/>
  <c r="K233" s="1"/>
  <c r="I176"/>
  <c r="H232"/>
  <c r="G233"/>
  <c r="F233"/>
  <c r="K93"/>
  <c r="J232"/>
  <c r="H93"/>
  <c r="I93"/>
  <c r="J93"/>
  <c r="H119"/>
  <c r="I232"/>
  <c r="J233"/>
  <c r="M233"/>
  <c r="L233"/>
  <c r="H233" l="1"/>
  <c r="I233"/>
</calcChain>
</file>

<file path=xl/sharedStrings.xml><?xml version="1.0" encoding="utf-8"?>
<sst xmlns="http://schemas.openxmlformats.org/spreadsheetml/2006/main" count="677" uniqueCount="241">
  <si>
    <t>THE GROWTH OF FOREIGN TOURIST VISIT TO PLACE OF</t>
  </si>
  <si>
    <t>TABLE 17.</t>
  </si>
  <si>
    <t>TABEL 17.</t>
  </si>
  <si>
    <t>PERKEMBANGAN KUNJUNGAN WISATAWAN PADA KAWASAN</t>
  </si>
  <si>
    <t>NO</t>
  </si>
  <si>
    <t>THE VISITED PLACES of INTEREST</t>
  </si>
  <si>
    <t>wisnus</t>
  </si>
  <si>
    <t>wisman</t>
  </si>
  <si>
    <t>I</t>
  </si>
  <si>
    <t>DENPASAR CITY</t>
  </si>
  <si>
    <t>Museum Bali</t>
  </si>
  <si>
    <t>Museum Le Mayuer</t>
  </si>
  <si>
    <t>Taman Budaya</t>
  </si>
  <si>
    <t>Pulau Serangan</t>
  </si>
  <si>
    <t>Prasasti Blanjong</t>
  </si>
  <si>
    <t>Ps. Kumbasari</t>
  </si>
  <si>
    <t>Pasar Badung</t>
  </si>
  <si>
    <t>-</t>
  </si>
  <si>
    <t>Museum Lukisan Sidik Jari</t>
  </si>
  <si>
    <t>Monumen Perjuangan Rakyat Bali</t>
  </si>
  <si>
    <t>Hutan Bakau/Mangrove</t>
  </si>
  <si>
    <t>Desa Budaya Kertalangu</t>
  </si>
  <si>
    <t>Pura Dalem Sakenan</t>
  </si>
  <si>
    <t>Pura Maspahit Grenceng</t>
  </si>
  <si>
    <t>Dewata Oleh-Oleh Bali</t>
  </si>
  <si>
    <t>Syahbandar Serangan</t>
  </si>
  <si>
    <t>Keris Dance</t>
  </si>
  <si>
    <t>JUMLAH</t>
  </si>
  <si>
    <t>II</t>
  </si>
  <si>
    <t>BADUNG REGENCY</t>
  </si>
  <si>
    <t>Sangeh</t>
  </si>
  <si>
    <t>Taman Ayun</t>
  </si>
  <si>
    <t>Uluwatu</t>
  </si>
  <si>
    <t>Air Terjun Nungnung</t>
  </si>
  <si>
    <t>Pantai Pandawa</t>
  </si>
  <si>
    <t>Pantai Labuan Sait</t>
  </si>
  <si>
    <t>III</t>
  </si>
  <si>
    <t>GIANYAR REGENCY</t>
  </si>
  <si>
    <t>Goa Gajah</t>
  </si>
  <si>
    <t>Gn. Kawi Tampak Siring</t>
  </si>
  <si>
    <t>Gn. Kawi Sebatu</t>
  </si>
  <si>
    <t>Tirta Empul</t>
  </si>
  <si>
    <t xml:space="preserve">Mandala Suci Wanara Wana </t>
  </si>
  <si>
    <t>Yeh Pulu</t>
  </si>
  <si>
    <t>Taman Burung dan Rimba Reptil</t>
  </si>
  <si>
    <t>Alam Sidan</t>
  </si>
  <si>
    <t>Wisata Gajah Taro</t>
  </si>
  <si>
    <t>Museum Arkeologi Garca</t>
  </si>
  <si>
    <t>Museum Neka</t>
  </si>
  <si>
    <t>Museum Rudana</t>
  </si>
  <si>
    <t>Museum Arma</t>
  </si>
  <si>
    <t>Bali Zoo Park</t>
  </si>
  <si>
    <t>Rafting (Sobek)</t>
  </si>
  <si>
    <t>Bali Safari &amp; Marine Park</t>
  </si>
  <si>
    <t>Museum Puri Lukisan</t>
  </si>
  <si>
    <t>Museum Antonio Blanco</t>
  </si>
  <si>
    <t>Rafting Adventure</t>
  </si>
  <si>
    <t>Museum Ratna Warta</t>
  </si>
  <si>
    <t>Taman Nusa</t>
  </si>
  <si>
    <t>Air Terjun Tegenungan</t>
  </si>
  <si>
    <t>Monkey river  dan Air Terjun Blangsinga</t>
  </si>
  <si>
    <t>IV</t>
  </si>
  <si>
    <t>BANGLI REGENCY</t>
  </si>
  <si>
    <t>Penulisan</t>
  </si>
  <si>
    <t>Pura Kehen</t>
  </si>
  <si>
    <t>Penelokan Batur</t>
  </si>
  <si>
    <t>Desa Truyan</t>
  </si>
  <si>
    <t>Desa Penglipuran</t>
  </si>
  <si>
    <t>P3GB</t>
  </si>
  <si>
    <t>V</t>
  </si>
  <si>
    <t>KLUNGKUNG REGENCY</t>
  </si>
  <si>
    <t>Kerta Gosa/Museum Semarajaya</t>
  </si>
  <si>
    <t>Goa Lawah</t>
  </si>
  <si>
    <t>Jungut Batu/Nusa Penida (Festival )</t>
  </si>
  <si>
    <t>Kawasan Nusa Penida</t>
  </si>
  <si>
    <t>Rafting Unda</t>
  </si>
  <si>
    <t>Levi Rafting</t>
  </si>
  <si>
    <t>Festival Semarapura</t>
  </si>
  <si>
    <t>VI</t>
  </si>
  <si>
    <t>KARANGASEM REGENCY</t>
  </si>
  <si>
    <t>Puri Karangasem</t>
  </si>
  <si>
    <t>Besakih</t>
  </si>
  <si>
    <t>Tirta Gangga</t>
  </si>
  <si>
    <t>Tenganan</t>
  </si>
  <si>
    <t>Padangbai</t>
  </si>
  <si>
    <t>Jemeluk</t>
  </si>
  <si>
    <t>Telaga Waja</t>
  </si>
  <si>
    <t>Tulamben</t>
  </si>
  <si>
    <t>Yeh Malet</t>
  </si>
  <si>
    <t>Candi Dasa</t>
  </si>
  <si>
    <t>Sibetan</t>
  </si>
  <si>
    <t>Taman Ujung</t>
  </si>
  <si>
    <t>Iseh</t>
  </si>
  <si>
    <t>Putung</t>
  </si>
  <si>
    <t>Bukit Jambul</t>
  </si>
  <si>
    <t>Labuhan/ODC</t>
  </si>
  <si>
    <t>Odyssey</t>
  </si>
  <si>
    <t>Virgin Beach</t>
  </si>
  <si>
    <t>Bukit Nampo</t>
  </si>
  <si>
    <t>Bukit Asah</t>
  </si>
  <si>
    <t>VII</t>
  </si>
  <si>
    <t>BULELENG REGENCY</t>
  </si>
  <si>
    <t>Pulaki</t>
  </si>
  <si>
    <t>Lovina, Kalibukbuk</t>
  </si>
  <si>
    <t>Air Panas Banjar</t>
  </si>
  <si>
    <t>Air Sanih</t>
  </si>
  <si>
    <t>Air Terjun Gitgit</t>
  </si>
  <si>
    <t>Makam Jaya Prana</t>
  </si>
  <si>
    <t>Air Panas Banyuwedang</t>
  </si>
  <si>
    <t>Taman Nasional Bali Barat</t>
  </si>
  <si>
    <t>Pura Madue Karang</t>
  </si>
  <si>
    <t>Pura Beji</t>
  </si>
  <si>
    <t>Pura Dalem Jagaraga</t>
  </si>
  <si>
    <t>Kaliasem</t>
  </si>
  <si>
    <t>Danau Buyan</t>
  </si>
  <si>
    <t>Pelabuhan Buleleng</t>
  </si>
  <si>
    <t>Gedong Kertya</t>
  </si>
  <si>
    <t>Air Terjun Les</t>
  </si>
  <si>
    <t>Museum Buleleng</t>
  </si>
  <si>
    <t>Wihara Banjar</t>
  </si>
  <si>
    <t>D. Tamblingan</t>
  </si>
  <si>
    <t>P. Menjangan</t>
  </si>
  <si>
    <t>Air Terjun Munduk</t>
  </si>
  <si>
    <t>Celukan Bawang</t>
  </si>
  <si>
    <t>Kapal Rool Azamara Quests</t>
  </si>
  <si>
    <t>Kapal Seabourn Odyssey</t>
  </si>
  <si>
    <t>Festival Twin Lake</t>
  </si>
  <si>
    <t>Buleleng Festival</t>
  </si>
  <si>
    <t>Porprov Bali Tahun 2015</t>
  </si>
  <si>
    <t>Festival Lovina</t>
  </si>
  <si>
    <t>Promosi MTF Surabaya</t>
  </si>
  <si>
    <t>PKB Kabupaten Buleleng/ Buleleng Expo</t>
  </si>
  <si>
    <t>Utsawa Merdangga Gong Kebyar</t>
  </si>
  <si>
    <t>Kapal Pesiar</t>
  </si>
  <si>
    <t>Karang Kerupit Labuhan Aji</t>
  </si>
  <si>
    <t>Air Terjun Sekumpul</t>
  </si>
  <si>
    <t>Air Terjun Campuhan</t>
  </si>
  <si>
    <t>Air Terjun Bertingkat</t>
  </si>
  <si>
    <t>Genting Dream</t>
  </si>
  <si>
    <t>Azamara Journey</t>
  </si>
  <si>
    <t>MV Star Clipper</t>
  </si>
  <si>
    <t>Aset BBDF</t>
  </si>
  <si>
    <t>Pemuteran Bay Festival</t>
  </si>
  <si>
    <t>Selfie Spot Wanagiri</t>
  </si>
  <si>
    <t>VIII</t>
  </si>
  <si>
    <t>JEMBRANA REGENCY</t>
  </si>
  <si>
    <t>Bunut Bolong</t>
  </si>
  <si>
    <t>Pantai Medewi</t>
  </si>
  <si>
    <t>Rambut Siwi</t>
  </si>
  <si>
    <t>Pantai Delod Berawah</t>
  </si>
  <si>
    <t>Pantai Baluk Rening</t>
  </si>
  <si>
    <t>Bendungan Palasari</t>
  </si>
  <si>
    <t>Gilimanuk</t>
  </si>
  <si>
    <t>Teluk Gilimanuk</t>
  </si>
  <si>
    <t>Sangkar Agung</t>
  </si>
  <si>
    <t>Museum Gilimanuk/Manusia Purba Situs</t>
  </si>
  <si>
    <t>Pantai Perancak</t>
  </si>
  <si>
    <t>Desa Wisata Perancak</t>
  </si>
  <si>
    <t>P. Candi Kusuma</t>
  </si>
  <si>
    <t>Pantai Pengeragoan</t>
  </si>
  <si>
    <t>Pantai Gumbrih</t>
  </si>
  <si>
    <t>Desa Wisata Gumbrih</t>
  </si>
  <si>
    <t>Pantai Pekutatan</t>
  </si>
  <si>
    <t>Desa Wisata Blimbingsari</t>
  </si>
  <si>
    <t>Desa Wisata Ekasari</t>
  </si>
  <si>
    <t>Pantai Yeh Leh</t>
  </si>
  <si>
    <t>Air Terjun Juwuk Manis</t>
  </si>
  <si>
    <t>Green Cliff</t>
  </si>
  <si>
    <t>Desa Wisata Nusantara</t>
  </si>
  <si>
    <t>Puncak JR</t>
  </si>
  <si>
    <t>Sungai Gelar</t>
  </si>
  <si>
    <t>Air Terjun Batu Belah</t>
  </si>
  <si>
    <t>Bendungan Benel</t>
  </si>
  <si>
    <t>Desa Wisata Yeh Embang Kangin</t>
  </si>
  <si>
    <t>Pantai Yeh Sumbul</t>
  </si>
  <si>
    <t>Kolam Renang Delod Berawah</t>
  </si>
  <si>
    <t>Makam Tua Buyut Lebai</t>
  </si>
  <si>
    <t>Pura Gede Perancak</t>
  </si>
  <si>
    <t>Pantai Cupel</t>
  </si>
  <si>
    <t>Munduk Nangka</t>
  </si>
  <si>
    <t>IX</t>
  </si>
  <si>
    <t>KABUPATEN TABANAN</t>
  </si>
  <si>
    <t>Tanah Lot</t>
  </si>
  <si>
    <t>Ulun Danu Beratan</t>
  </si>
  <si>
    <t>Bedugul</t>
  </si>
  <si>
    <t>Kebun Raya Bedugul</t>
  </si>
  <si>
    <t>Candi Puputan Margarana</t>
  </si>
  <si>
    <t>Alas Kedaton</t>
  </si>
  <si>
    <t>Air Panas Penatahan</t>
  </si>
  <si>
    <t>Puri Anyar Kerambitan</t>
  </si>
  <si>
    <t>Puri Gede Kerambitan</t>
  </si>
  <si>
    <t>Museum Subak</t>
  </si>
  <si>
    <t>Jati Luwih</t>
  </si>
  <si>
    <t>Taman Kupu-Kupu</t>
  </si>
  <si>
    <t>Pura Batu Karu</t>
  </si>
  <si>
    <t>TOTAL</t>
  </si>
  <si>
    <t>SOURCE</t>
  </si>
  <si>
    <t>:</t>
  </si>
  <si>
    <t xml:space="preserve">BALI GOVERNMENT TOURISM OFFICE </t>
  </si>
  <si>
    <t>SUMBER</t>
  </si>
  <si>
    <t xml:space="preserve">DINAS PARIWISATA PROVINSI BALI </t>
  </si>
  <si>
    <t>INTEREST IN BALI 2015-2021</t>
  </si>
  <si>
    <t>OBYEK DAN DAYA TARIK WISATA DI BALI TAHUN 2015-2021</t>
  </si>
  <si>
    <t>Garuda Wisnu Kencana</t>
  </si>
  <si>
    <t>Pura Maospahit Tonja</t>
  </si>
  <si>
    <t>Pantai Matahari Terbit Dan Bali Beach</t>
  </si>
  <si>
    <t>Pantai Duyung</t>
  </si>
  <si>
    <t>Pantai Kusumasari</t>
  </si>
  <si>
    <t>Pantai Semawang</t>
  </si>
  <si>
    <t>Pantai Sindhu</t>
  </si>
  <si>
    <t>Pantai Segara Ayu</t>
  </si>
  <si>
    <t xml:space="preserve">Pantai Karang </t>
  </si>
  <si>
    <t>Taman Inspirasi (Muntig Siokan Mertasari )</t>
  </si>
  <si>
    <t>Pantai Cemara Alit</t>
  </si>
  <si>
    <t>Pantai Pengembak dan Pantai Sukamerta</t>
  </si>
  <si>
    <t>Candi Tebing Tegallinggah</t>
  </si>
  <si>
    <t>DTW Mengening</t>
  </si>
  <si>
    <t>Hidden Canyon</t>
  </si>
  <si>
    <t>Ceking</t>
  </si>
  <si>
    <t>Taman Edelweis</t>
  </si>
  <si>
    <t>Lempuyang</t>
  </si>
  <si>
    <t>Bukit Cemara</t>
  </si>
  <si>
    <t>Puri Ayu</t>
  </si>
  <si>
    <t xml:space="preserve">Pura Jaya Prana </t>
  </si>
  <si>
    <t xml:space="preserve">Tugu Singa Ambara Raja </t>
  </si>
  <si>
    <t xml:space="preserve">Brahma Vihara Ambara </t>
  </si>
  <si>
    <t xml:space="preserve">Air Terjun Melanting </t>
  </si>
  <si>
    <t xml:space="preserve">Air Terjun Aling-Aling </t>
  </si>
  <si>
    <t>Gedong Kirtya</t>
  </si>
  <si>
    <t>Pantai Lovina</t>
  </si>
  <si>
    <t>Pantai Penimbangan</t>
  </si>
  <si>
    <t>Pura Dalem Sangsit</t>
  </si>
  <si>
    <t>Pura Pucak Sinunggal</t>
  </si>
  <si>
    <t xml:space="preserve">Pura Ponjok Batu </t>
  </si>
  <si>
    <t>Air Terjun Banyumala</t>
  </si>
  <si>
    <t xml:space="preserve">Pura Batu Kursi </t>
  </si>
  <si>
    <t>Pantai Pangyangan</t>
  </si>
  <si>
    <t xml:space="preserve">Rest Area Rambut Siwi </t>
  </si>
  <si>
    <t>Desa Wisata Sangkaragung</t>
  </si>
  <si>
    <t xml:space="preserve">Puncak Mawar </t>
  </si>
  <si>
    <t>Makam Ustad Ali Bafaqih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</si>
</sst>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 style="thin">
        <color indexed="64"/>
      </right>
      <top/>
      <bottom/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505050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3" fontId="3" fillId="0" borderId="12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3" fillId="2" borderId="14" xfId="0" applyFont="1" applyFill="1" applyBorder="1"/>
    <xf numFmtId="3" fontId="3" fillId="2" borderId="12" xfId="0" applyNumberFormat="1" applyFont="1" applyFill="1" applyBorder="1"/>
    <xf numFmtId="3" fontId="3" fillId="2" borderId="14" xfId="0" applyNumberFormat="1" applyFont="1" applyFill="1" applyBorder="1"/>
    <xf numFmtId="3" fontId="3" fillId="0" borderId="12" xfId="0" applyNumberFormat="1" applyFont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0" borderId="12" xfId="0" quotePrefix="1" applyNumberFormat="1" applyFont="1" applyBorder="1" applyAlignment="1">
      <alignment horizontal="right"/>
    </xf>
    <xf numFmtId="3" fontId="3" fillId="2" borderId="14" xfId="0" quotePrefix="1" applyNumberFormat="1" applyFont="1" applyFill="1" applyBorder="1" applyAlignment="1">
      <alignment horizontal="right"/>
    </xf>
    <xf numFmtId="0" fontId="3" fillId="0" borderId="15" xfId="0" applyFont="1" applyBorder="1"/>
    <xf numFmtId="0" fontId="1" fillId="0" borderId="16" xfId="0" applyFont="1" applyBorder="1"/>
    <xf numFmtId="41" fontId="1" fillId="0" borderId="11" xfId="0" applyNumberFormat="1" applyFont="1" applyBorder="1"/>
    <xf numFmtId="0" fontId="1" fillId="0" borderId="10" xfId="0" applyFont="1" applyBorder="1"/>
    <xf numFmtId="41" fontId="3" fillId="0" borderId="12" xfId="0" applyNumberFormat="1" applyFont="1" applyBorder="1"/>
    <xf numFmtId="0" fontId="3" fillId="0" borderId="16" xfId="0" applyFont="1" applyBorder="1"/>
    <xf numFmtId="0" fontId="1" fillId="0" borderId="15" xfId="0" applyFont="1" applyBorder="1"/>
    <xf numFmtId="3" fontId="0" fillId="0" borderId="0" xfId="0" applyNumberFormat="1"/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1" fillId="0" borderId="4" xfId="0" applyFont="1" applyBorder="1"/>
    <xf numFmtId="0" fontId="1" fillId="0" borderId="5" xfId="0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7" xfId="0" applyFont="1" applyBorder="1"/>
    <xf numFmtId="0" fontId="3" fillId="0" borderId="1" xfId="0" applyFont="1" applyBorder="1"/>
    <xf numFmtId="3" fontId="3" fillId="0" borderId="6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0" xfId="0" applyFont="1" applyFill="1" applyBorder="1"/>
    <xf numFmtId="0" fontId="1" fillId="0" borderId="12" xfId="0" applyFont="1" applyBorder="1" applyAlignment="1">
      <alignment horizontal="center"/>
    </xf>
    <xf numFmtId="0" fontId="3" fillId="2" borderId="10" xfId="0" applyFont="1" applyFill="1" applyBorder="1"/>
    <xf numFmtId="0" fontId="3" fillId="0" borderId="17" xfId="0" applyFont="1" applyBorder="1"/>
    <xf numFmtId="0" fontId="3" fillId="0" borderId="8" xfId="0" applyFont="1" applyBorder="1"/>
    <xf numFmtId="3" fontId="3" fillId="0" borderId="6" xfId="0" applyNumberFormat="1" applyFont="1" applyBorder="1" applyAlignment="1">
      <alignment horizontal="right"/>
    </xf>
    <xf numFmtId="41" fontId="1" fillId="0" borderId="6" xfId="0" applyNumberFormat="1" applyFont="1" applyBorder="1"/>
    <xf numFmtId="0" fontId="3" fillId="0" borderId="11" xfId="0" applyFont="1" applyBorder="1"/>
    <xf numFmtId="0" fontId="1" fillId="0" borderId="8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4" xfId="0" applyNumberFormat="1" applyFill="1" applyBorder="1"/>
    <xf numFmtId="0" fontId="2" fillId="0" borderId="0" xfId="0" applyFont="1"/>
    <xf numFmtId="0" fontId="0" fillId="0" borderId="0" xfId="0" applyAlignment="1">
      <alignment horizontal="center" vertical="center"/>
    </xf>
    <xf numFmtId="41" fontId="0" fillId="0" borderId="0" xfId="0" applyNumberFormat="1"/>
    <xf numFmtId="41" fontId="4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9" xfId="0" applyFont="1" applyBorder="1"/>
    <xf numFmtId="0" fontId="3" fillId="2" borderId="20" xfId="0" applyFont="1" applyFill="1" applyBorder="1"/>
    <xf numFmtId="3" fontId="3" fillId="2" borderId="20" xfId="0" applyNumberFormat="1" applyFont="1" applyFill="1" applyBorder="1"/>
    <xf numFmtId="3" fontId="3" fillId="2" borderId="20" xfId="0" applyNumberFormat="1" applyFont="1" applyFill="1" applyBorder="1" applyAlignment="1">
      <alignment horizontal="right"/>
    </xf>
    <xf numFmtId="3" fontId="3" fillId="2" borderId="20" xfId="0" quotePrefix="1" applyNumberFormat="1" applyFont="1" applyFill="1" applyBorder="1" applyAlignment="1">
      <alignment horizontal="right"/>
    </xf>
    <xf numFmtId="41" fontId="1" fillId="0" borderId="15" xfId="0" applyNumberFormat="1" applyFont="1" applyBorder="1"/>
    <xf numFmtId="3" fontId="3" fillId="0" borderId="9" xfId="0" applyNumberFormat="1" applyFont="1" applyBorder="1"/>
    <xf numFmtId="3" fontId="3" fillId="0" borderId="9" xfId="0" quotePrefix="1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3" xfId="0" applyNumberFormat="1" applyFont="1" applyBorder="1"/>
    <xf numFmtId="41" fontId="3" fillId="0" borderId="9" xfId="0" quotePrefix="1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7" xfId="0" applyNumberFormat="1" applyFont="1" applyBorder="1" applyAlignment="1">
      <alignment horizontal="right"/>
    </xf>
    <xf numFmtId="41" fontId="1" fillId="0" borderId="7" xfId="0" applyNumberFormat="1" applyFont="1" applyBorder="1"/>
    <xf numFmtId="3" fontId="1" fillId="0" borderId="15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164" fontId="0" fillId="0" borderId="22" xfId="0" applyNumberFormat="1" applyBorder="1"/>
    <xf numFmtId="164" fontId="0" fillId="0" borderId="25" xfId="0" applyNumberFormat="1" applyBorder="1"/>
    <xf numFmtId="164" fontId="0" fillId="0" borderId="24" xfId="0" applyNumberFormat="1" applyBorder="1"/>
    <xf numFmtId="164" fontId="3" fillId="0" borderId="12" xfId="0" quotePrefix="1" applyNumberFormat="1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0" fillId="0" borderId="27" xfId="0" applyBorder="1"/>
    <xf numFmtId="0" fontId="0" fillId="0" borderId="25" xfId="0" applyBorder="1"/>
    <xf numFmtId="0" fontId="1" fillId="0" borderId="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23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25" xfId="0" applyFill="1" applyBorder="1"/>
    <xf numFmtId="164" fontId="6" fillId="0" borderId="24" xfId="0" applyNumberFormat="1" applyFont="1" applyBorder="1"/>
    <xf numFmtId="164" fontId="6" fillId="0" borderId="25" xfId="0" applyNumberFormat="1" applyFont="1" applyBorder="1"/>
    <xf numFmtId="164" fontId="6" fillId="0" borderId="22" xfId="0" applyNumberFormat="1" applyFont="1" applyBorder="1"/>
    <xf numFmtId="3" fontId="3" fillId="2" borderId="28" xfId="0" quotePrefix="1" applyNumberFormat="1" applyFont="1" applyFill="1" applyBorder="1" applyAlignment="1">
      <alignment horizontal="right"/>
    </xf>
    <xf numFmtId="3" fontId="3" fillId="2" borderId="29" xfId="0" quotePrefix="1" applyNumberFormat="1" applyFont="1" applyFill="1" applyBorder="1" applyAlignment="1">
      <alignment horizontal="right"/>
    </xf>
    <xf numFmtId="164" fontId="0" fillId="0" borderId="12" xfId="0" applyNumberFormat="1" applyBorder="1" applyAlignment="1">
      <alignment wrapText="1"/>
    </xf>
    <xf numFmtId="164" fontId="0" fillId="0" borderId="6" xfId="0" applyNumberFormat="1" applyBorder="1"/>
    <xf numFmtId="3" fontId="3" fillId="2" borderId="12" xfId="0" quotePrefix="1" applyNumberFormat="1" applyFont="1" applyFill="1" applyBorder="1" applyAlignment="1">
      <alignment horizontal="right"/>
    </xf>
    <xf numFmtId="3" fontId="3" fillId="2" borderId="6" xfId="0" quotePrefix="1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41" fontId="3" fillId="0" borderId="9" xfId="0" applyNumberFormat="1" applyFont="1" applyBorder="1"/>
    <xf numFmtId="0" fontId="1" fillId="0" borderId="16" xfId="0" applyFont="1" applyBorder="1" applyAlignment="1">
      <alignment horizontal="center" vertical="center"/>
    </xf>
    <xf numFmtId="0" fontId="3" fillId="0" borderId="30" xfId="0" applyFont="1" applyBorder="1"/>
    <xf numFmtId="0" fontId="3" fillId="2" borderId="31" xfId="0" applyFont="1" applyFill="1" applyBorder="1"/>
    <xf numFmtId="3" fontId="3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31" xfId="0" quotePrefix="1" applyNumberFormat="1" applyFont="1" applyFill="1" applyBorder="1" applyAlignment="1">
      <alignment horizontal="right"/>
    </xf>
    <xf numFmtId="3" fontId="3" fillId="2" borderId="32" xfId="0" quotePrefix="1" applyNumberFormat="1" applyFont="1" applyFill="1" applyBorder="1" applyAlignment="1">
      <alignment horizontal="right"/>
    </xf>
    <xf numFmtId="3" fontId="3" fillId="2" borderId="10" xfId="0" quotePrefix="1" applyNumberFormat="1" applyFont="1" applyFill="1" applyBorder="1" applyAlignment="1">
      <alignment horizontal="right"/>
    </xf>
    <xf numFmtId="3" fontId="3" fillId="2" borderId="8" xfId="0" quotePrefix="1" applyNumberFormat="1" applyFont="1" applyFill="1" applyBorder="1" applyAlignment="1">
      <alignment horizontal="right"/>
    </xf>
    <xf numFmtId="41" fontId="1" fillId="0" borderId="16" xfId="0" applyNumberFormat="1" applyFont="1" applyBorder="1"/>
    <xf numFmtId="3" fontId="3" fillId="0" borderId="10" xfId="0" quotePrefix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5" xfId="0" applyNumberFormat="1" applyFont="1" applyBorder="1"/>
    <xf numFmtId="3" fontId="1" fillId="0" borderId="16" xfId="0" applyNumberFormat="1" applyFont="1" applyBorder="1" applyAlignment="1">
      <alignment horizontal="right" vertical="center"/>
    </xf>
    <xf numFmtId="0" fontId="0" fillId="0" borderId="12" xfId="0" applyBorder="1"/>
    <xf numFmtId="41" fontId="3" fillId="0" borderId="10" xfId="0" quotePrefix="1" applyNumberFormat="1" applyFont="1" applyBorder="1" applyAlignment="1">
      <alignment horizontal="right"/>
    </xf>
    <xf numFmtId="0" fontId="0" fillId="0" borderId="12" xfId="0" applyNumberFormat="1" applyBorder="1"/>
    <xf numFmtId="164" fontId="6" fillId="0" borderId="22" xfId="0" applyNumberFormat="1" applyFont="1" applyFill="1" applyBorder="1"/>
    <xf numFmtId="164" fontId="6" fillId="0" borderId="25" xfId="0" applyNumberFormat="1" applyFont="1" applyFill="1" applyBorder="1"/>
    <xf numFmtId="164" fontId="6" fillId="0" borderId="12" xfId="0" applyNumberFormat="1" applyFont="1" applyBorder="1" applyAlignment="1"/>
    <xf numFmtId="164" fontId="6" fillId="0" borderId="12" xfId="0" applyNumberFormat="1" applyFont="1" applyBorder="1" applyAlignment="1">
      <alignment wrapText="1"/>
    </xf>
    <xf numFmtId="164" fontId="6" fillId="0" borderId="12" xfId="0" applyNumberFormat="1" applyFont="1" applyBorder="1"/>
    <xf numFmtId="164" fontId="6" fillId="0" borderId="6" xfId="0" applyNumberFormat="1" applyFont="1" applyBorder="1"/>
    <xf numFmtId="164" fontId="3" fillId="0" borderId="12" xfId="0" applyNumberFormat="1" applyFont="1" applyBorder="1" applyAlignment="1">
      <alignment horizontal="right"/>
    </xf>
    <xf numFmtId="3" fontId="3" fillId="0" borderId="33" xfId="0" applyNumberFormat="1" applyFont="1" applyBorder="1"/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Border="1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3" fontId="3" fillId="0" borderId="1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topLeftCell="A211" workbookViewId="0">
      <selection activeCell="N38" sqref="N38"/>
    </sheetView>
  </sheetViews>
  <sheetFormatPr defaultRowHeight="15"/>
  <cols>
    <col min="2" max="2" width="2.42578125" customWidth="1"/>
    <col min="3" max="3" width="2" customWidth="1"/>
    <col min="4" max="4" width="36.85546875" customWidth="1"/>
    <col min="5" max="9" width="10.7109375" customWidth="1"/>
    <col min="10" max="10" width="11.85546875" customWidth="1"/>
    <col min="11" max="11" width="10.42578125" customWidth="1"/>
    <col min="12" max="12" width="9.7109375" bestFit="1" customWidth="1"/>
    <col min="13" max="13" width="9.28515625" customWidth="1"/>
    <col min="256" max="256" width="2.42578125" customWidth="1"/>
    <col min="257" max="257" width="2" customWidth="1"/>
    <col min="258" max="258" width="35.28515625" customWidth="1"/>
    <col min="259" max="265" width="10.7109375" customWidth="1"/>
    <col min="512" max="512" width="2.42578125" customWidth="1"/>
    <col min="513" max="513" width="2" customWidth="1"/>
    <col min="514" max="514" width="35.28515625" customWidth="1"/>
    <col min="515" max="521" width="10.7109375" customWidth="1"/>
    <col min="768" max="768" width="2.42578125" customWidth="1"/>
    <col min="769" max="769" width="2" customWidth="1"/>
    <col min="770" max="770" width="35.28515625" customWidth="1"/>
    <col min="771" max="777" width="10.7109375" customWidth="1"/>
    <col min="1024" max="1024" width="2.42578125" customWidth="1"/>
    <col min="1025" max="1025" width="2" customWidth="1"/>
    <col min="1026" max="1026" width="35.28515625" customWidth="1"/>
    <col min="1027" max="1033" width="10.7109375" customWidth="1"/>
    <col min="1280" max="1280" width="2.42578125" customWidth="1"/>
    <col min="1281" max="1281" width="2" customWidth="1"/>
    <col min="1282" max="1282" width="35.28515625" customWidth="1"/>
    <col min="1283" max="1289" width="10.7109375" customWidth="1"/>
    <col min="1536" max="1536" width="2.42578125" customWidth="1"/>
    <col min="1537" max="1537" width="2" customWidth="1"/>
    <col min="1538" max="1538" width="35.28515625" customWidth="1"/>
    <col min="1539" max="1545" width="10.7109375" customWidth="1"/>
    <col min="1792" max="1792" width="2.42578125" customWidth="1"/>
    <col min="1793" max="1793" width="2" customWidth="1"/>
    <col min="1794" max="1794" width="35.28515625" customWidth="1"/>
    <col min="1795" max="1801" width="10.7109375" customWidth="1"/>
    <col min="2048" max="2048" width="2.42578125" customWidth="1"/>
    <col min="2049" max="2049" width="2" customWidth="1"/>
    <col min="2050" max="2050" width="35.28515625" customWidth="1"/>
    <col min="2051" max="2057" width="10.7109375" customWidth="1"/>
    <col min="2304" max="2304" width="2.42578125" customWidth="1"/>
    <col min="2305" max="2305" width="2" customWidth="1"/>
    <col min="2306" max="2306" width="35.28515625" customWidth="1"/>
    <col min="2307" max="2313" width="10.7109375" customWidth="1"/>
    <col min="2560" max="2560" width="2.42578125" customWidth="1"/>
    <col min="2561" max="2561" width="2" customWidth="1"/>
    <col min="2562" max="2562" width="35.28515625" customWidth="1"/>
    <col min="2563" max="2569" width="10.7109375" customWidth="1"/>
    <col min="2816" max="2816" width="2.42578125" customWidth="1"/>
    <col min="2817" max="2817" width="2" customWidth="1"/>
    <col min="2818" max="2818" width="35.28515625" customWidth="1"/>
    <col min="2819" max="2825" width="10.7109375" customWidth="1"/>
    <col min="3072" max="3072" width="2.42578125" customWidth="1"/>
    <col min="3073" max="3073" width="2" customWidth="1"/>
    <col min="3074" max="3074" width="35.28515625" customWidth="1"/>
    <col min="3075" max="3081" width="10.7109375" customWidth="1"/>
    <col min="3328" max="3328" width="2.42578125" customWidth="1"/>
    <col min="3329" max="3329" width="2" customWidth="1"/>
    <col min="3330" max="3330" width="35.28515625" customWidth="1"/>
    <col min="3331" max="3337" width="10.7109375" customWidth="1"/>
    <col min="3584" max="3584" width="2.42578125" customWidth="1"/>
    <col min="3585" max="3585" width="2" customWidth="1"/>
    <col min="3586" max="3586" width="35.28515625" customWidth="1"/>
    <col min="3587" max="3593" width="10.7109375" customWidth="1"/>
    <col min="3840" max="3840" width="2.42578125" customWidth="1"/>
    <col min="3841" max="3841" width="2" customWidth="1"/>
    <col min="3842" max="3842" width="35.28515625" customWidth="1"/>
    <col min="3843" max="3849" width="10.7109375" customWidth="1"/>
    <col min="4096" max="4096" width="2.42578125" customWidth="1"/>
    <col min="4097" max="4097" width="2" customWidth="1"/>
    <col min="4098" max="4098" width="35.28515625" customWidth="1"/>
    <col min="4099" max="4105" width="10.7109375" customWidth="1"/>
    <col min="4352" max="4352" width="2.42578125" customWidth="1"/>
    <col min="4353" max="4353" width="2" customWidth="1"/>
    <col min="4354" max="4354" width="35.28515625" customWidth="1"/>
    <col min="4355" max="4361" width="10.7109375" customWidth="1"/>
    <col min="4608" max="4608" width="2.42578125" customWidth="1"/>
    <col min="4609" max="4609" width="2" customWidth="1"/>
    <col min="4610" max="4610" width="35.28515625" customWidth="1"/>
    <col min="4611" max="4617" width="10.7109375" customWidth="1"/>
    <col min="4864" max="4864" width="2.42578125" customWidth="1"/>
    <col min="4865" max="4865" width="2" customWidth="1"/>
    <col min="4866" max="4866" width="35.28515625" customWidth="1"/>
    <col min="4867" max="4873" width="10.7109375" customWidth="1"/>
    <col min="5120" max="5120" width="2.42578125" customWidth="1"/>
    <col min="5121" max="5121" width="2" customWidth="1"/>
    <col min="5122" max="5122" width="35.28515625" customWidth="1"/>
    <col min="5123" max="5129" width="10.7109375" customWidth="1"/>
    <col min="5376" max="5376" width="2.42578125" customWidth="1"/>
    <col min="5377" max="5377" width="2" customWidth="1"/>
    <col min="5378" max="5378" width="35.28515625" customWidth="1"/>
    <col min="5379" max="5385" width="10.7109375" customWidth="1"/>
    <col min="5632" max="5632" width="2.42578125" customWidth="1"/>
    <col min="5633" max="5633" width="2" customWidth="1"/>
    <col min="5634" max="5634" width="35.28515625" customWidth="1"/>
    <col min="5635" max="5641" width="10.7109375" customWidth="1"/>
    <col min="5888" max="5888" width="2.42578125" customWidth="1"/>
    <col min="5889" max="5889" width="2" customWidth="1"/>
    <col min="5890" max="5890" width="35.28515625" customWidth="1"/>
    <col min="5891" max="5897" width="10.7109375" customWidth="1"/>
    <col min="6144" max="6144" width="2.42578125" customWidth="1"/>
    <col min="6145" max="6145" width="2" customWidth="1"/>
    <col min="6146" max="6146" width="35.28515625" customWidth="1"/>
    <col min="6147" max="6153" width="10.7109375" customWidth="1"/>
    <col min="6400" max="6400" width="2.42578125" customWidth="1"/>
    <col min="6401" max="6401" width="2" customWidth="1"/>
    <col min="6402" max="6402" width="35.28515625" customWidth="1"/>
    <col min="6403" max="6409" width="10.7109375" customWidth="1"/>
    <col min="6656" max="6656" width="2.42578125" customWidth="1"/>
    <col min="6657" max="6657" width="2" customWidth="1"/>
    <col min="6658" max="6658" width="35.28515625" customWidth="1"/>
    <col min="6659" max="6665" width="10.7109375" customWidth="1"/>
    <col min="6912" max="6912" width="2.42578125" customWidth="1"/>
    <col min="6913" max="6913" width="2" customWidth="1"/>
    <col min="6914" max="6914" width="35.28515625" customWidth="1"/>
    <col min="6915" max="6921" width="10.7109375" customWidth="1"/>
    <col min="7168" max="7168" width="2.42578125" customWidth="1"/>
    <col min="7169" max="7169" width="2" customWidth="1"/>
    <col min="7170" max="7170" width="35.28515625" customWidth="1"/>
    <col min="7171" max="7177" width="10.7109375" customWidth="1"/>
    <col min="7424" max="7424" width="2.42578125" customWidth="1"/>
    <col min="7425" max="7425" width="2" customWidth="1"/>
    <col min="7426" max="7426" width="35.28515625" customWidth="1"/>
    <col min="7427" max="7433" width="10.7109375" customWidth="1"/>
    <col min="7680" max="7680" width="2.42578125" customWidth="1"/>
    <col min="7681" max="7681" width="2" customWidth="1"/>
    <col min="7682" max="7682" width="35.28515625" customWidth="1"/>
    <col min="7683" max="7689" width="10.7109375" customWidth="1"/>
    <col min="7936" max="7936" width="2.42578125" customWidth="1"/>
    <col min="7937" max="7937" width="2" customWidth="1"/>
    <col min="7938" max="7938" width="35.28515625" customWidth="1"/>
    <col min="7939" max="7945" width="10.7109375" customWidth="1"/>
    <col min="8192" max="8192" width="2.42578125" customWidth="1"/>
    <col min="8193" max="8193" width="2" customWidth="1"/>
    <col min="8194" max="8194" width="35.28515625" customWidth="1"/>
    <col min="8195" max="8201" width="10.7109375" customWidth="1"/>
    <col min="8448" max="8448" width="2.42578125" customWidth="1"/>
    <col min="8449" max="8449" width="2" customWidth="1"/>
    <col min="8450" max="8450" width="35.28515625" customWidth="1"/>
    <col min="8451" max="8457" width="10.7109375" customWidth="1"/>
    <col min="8704" max="8704" width="2.42578125" customWidth="1"/>
    <col min="8705" max="8705" width="2" customWidth="1"/>
    <col min="8706" max="8706" width="35.28515625" customWidth="1"/>
    <col min="8707" max="8713" width="10.7109375" customWidth="1"/>
    <col min="8960" max="8960" width="2.42578125" customWidth="1"/>
    <col min="8961" max="8961" width="2" customWidth="1"/>
    <col min="8962" max="8962" width="35.28515625" customWidth="1"/>
    <col min="8963" max="8969" width="10.7109375" customWidth="1"/>
    <col min="9216" max="9216" width="2.42578125" customWidth="1"/>
    <col min="9217" max="9217" width="2" customWidth="1"/>
    <col min="9218" max="9218" width="35.28515625" customWidth="1"/>
    <col min="9219" max="9225" width="10.7109375" customWidth="1"/>
    <col min="9472" max="9472" width="2.42578125" customWidth="1"/>
    <col min="9473" max="9473" width="2" customWidth="1"/>
    <col min="9474" max="9474" width="35.28515625" customWidth="1"/>
    <col min="9475" max="9481" width="10.7109375" customWidth="1"/>
    <col min="9728" max="9728" width="2.42578125" customWidth="1"/>
    <col min="9729" max="9729" width="2" customWidth="1"/>
    <col min="9730" max="9730" width="35.28515625" customWidth="1"/>
    <col min="9731" max="9737" width="10.7109375" customWidth="1"/>
    <col min="9984" max="9984" width="2.42578125" customWidth="1"/>
    <col min="9985" max="9985" width="2" customWidth="1"/>
    <col min="9986" max="9986" width="35.28515625" customWidth="1"/>
    <col min="9987" max="9993" width="10.7109375" customWidth="1"/>
    <col min="10240" max="10240" width="2.42578125" customWidth="1"/>
    <col min="10241" max="10241" width="2" customWidth="1"/>
    <col min="10242" max="10242" width="35.28515625" customWidth="1"/>
    <col min="10243" max="10249" width="10.7109375" customWidth="1"/>
    <col min="10496" max="10496" width="2.42578125" customWidth="1"/>
    <col min="10497" max="10497" width="2" customWidth="1"/>
    <col min="10498" max="10498" width="35.28515625" customWidth="1"/>
    <col min="10499" max="10505" width="10.7109375" customWidth="1"/>
    <col min="10752" max="10752" width="2.42578125" customWidth="1"/>
    <col min="10753" max="10753" width="2" customWidth="1"/>
    <col min="10754" max="10754" width="35.28515625" customWidth="1"/>
    <col min="10755" max="10761" width="10.7109375" customWidth="1"/>
    <col min="11008" max="11008" width="2.42578125" customWidth="1"/>
    <col min="11009" max="11009" width="2" customWidth="1"/>
    <col min="11010" max="11010" width="35.28515625" customWidth="1"/>
    <col min="11011" max="11017" width="10.7109375" customWidth="1"/>
    <col min="11264" max="11264" width="2.42578125" customWidth="1"/>
    <col min="11265" max="11265" width="2" customWidth="1"/>
    <col min="11266" max="11266" width="35.28515625" customWidth="1"/>
    <col min="11267" max="11273" width="10.7109375" customWidth="1"/>
    <col min="11520" max="11520" width="2.42578125" customWidth="1"/>
    <col min="11521" max="11521" width="2" customWidth="1"/>
    <col min="11522" max="11522" width="35.28515625" customWidth="1"/>
    <col min="11523" max="11529" width="10.7109375" customWidth="1"/>
    <col min="11776" max="11776" width="2.42578125" customWidth="1"/>
    <col min="11777" max="11777" width="2" customWidth="1"/>
    <col min="11778" max="11778" width="35.28515625" customWidth="1"/>
    <col min="11779" max="11785" width="10.7109375" customWidth="1"/>
    <col min="12032" max="12032" width="2.42578125" customWidth="1"/>
    <col min="12033" max="12033" width="2" customWidth="1"/>
    <col min="12034" max="12034" width="35.28515625" customWidth="1"/>
    <col min="12035" max="12041" width="10.7109375" customWidth="1"/>
    <col min="12288" max="12288" width="2.42578125" customWidth="1"/>
    <col min="12289" max="12289" width="2" customWidth="1"/>
    <col min="12290" max="12290" width="35.28515625" customWidth="1"/>
    <col min="12291" max="12297" width="10.7109375" customWidth="1"/>
    <col min="12544" max="12544" width="2.42578125" customWidth="1"/>
    <col min="12545" max="12545" width="2" customWidth="1"/>
    <col min="12546" max="12546" width="35.28515625" customWidth="1"/>
    <col min="12547" max="12553" width="10.7109375" customWidth="1"/>
    <col min="12800" max="12800" width="2.42578125" customWidth="1"/>
    <col min="12801" max="12801" width="2" customWidth="1"/>
    <col min="12802" max="12802" width="35.28515625" customWidth="1"/>
    <col min="12803" max="12809" width="10.7109375" customWidth="1"/>
    <col min="13056" max="13056" width="2.42578125" customWidth="1"/>
    <col min="13057" max="13057" width="2" customWidth="1"/>
    <col min="13058" max="13058" width="35.28515625" customWidth="1"/>
    <col min="13059" max="13065" width="10.7109375" customWidth="1"/>
    <col min="13312" max="13312" width="2.42578125" customWidth="1"/>
    <col min="13313" max="13313" width="2" customWidth="1"/>
    <col min="13314" max="13314" width="35.28515625" customWidth="1"/>
    <col min="13315" max="13321" width="10.7109375" customWidth="1"/>
    <col min="13568" max="13568" width="2.42578125" customWidth="1"/>
    <col min="13569" max="13569" width="2" customWidth="1"/>
    <col min="13570" max="13570" width="35.28515625" customWidth="1"/>
    <col min="13571" max="13577" width="10.7109375" customWidth="1"/>
    <col min="13824" max="13824" width="2.42578125" customWidth="1"/>
    <col min="13825" max="13825" width="2" customWidth="1"/>
    <col min="13826" max="13826" width="35.28515625" customWidth="1"/>
    <col min="13827" max="13833" width="10.7109375" customWidth="1"/>
    <col min="14080" max="14080" width="2.42578125" customWidth="1"/>
    <col min="14081" max="14081" width="2" customWidth="1"/>
    <col min="14082" max="14082" width="35.28515625" customWidth="1"/>
    <col min="14083" max="14089" width="10.7109375" customWidth="1"/>
    <col min="14336" max="14336" width="2.42578125" customWidth="1"/>
    <col min="14337" max="14337" width="2" customWidth="1"/>
    <col min="14338" max="14338" width="35.28515625" customWidth="1"/>
    <col min="14339" max="14345" width="10.7109375" customWidth="1"/>
    <col min="14592" max="14592" width="2.42578125" customWidth="1"/>
    <col min="14593" max="14593" width="2" customWidth="1"/>
    <col min="14594" max="14594" width="35.28515625" customWidth="1"/>
    <col min="14595" max="14601" width="10.7109375" customWidth="1"/>
    <col min="14848" max="14848" width="2.42578125" customWidth="1"/>
    <col min="14849" max="14849" width="2" customWidth="1"/>
    <col min="14850" max="14850" width="35.28515625" customWidth="1"/>
    <col min="14851" max="14857" width="10.7109375" customWidth="1"/>
    <col min="15104" max="15104" width="2.42578125" customWidth="1"/>
    <col min="15105" max="15105" width="2" customWidth="1"/>
    <col min="15106" max="15106" width="35.28515625" customWidth="1"/>
    <col min="15107" max="15113" width="10.7109375" customWidth="1"/>
    <col min="15360" max="15360" width="2.42578125" customWidth="1"/>
    <col min="15361" max="15361" width="2" customWidth="1"/>
    <col min="15362" max="15362" width="35.28515625" customWidth="1"/>
    <col min="15363" max="15369" width="10.7109375" customWidth="1"/>
    <col min="15616" max="15616" width="2.42578125" customWidth="1"/>
    <col min="15617" max="15617" width="2" customWidth="1"/>
    <col min="15618" max="15618" width="35.28515625" customWidth="1"/>
    <col min="15619" max="15625" width="10.7109375" customWidth="1"/>
    <col min="15872" max="15872" width="2.42578125" customWidth="1"/>
    <col min="15873" max="15873" width="2" customWidth="1"/>
    <col min="15874" max="15874" width="35.28515625" customWidth="1"/>
    <col min="15875" max="15881" width="10.7109375" customWidth="1"/>
    <col min="16128" max="16128" width="2.42578125" customWidth="1"/>
    <col min="16129" max="16129" width="2" customWidth="1"/>
    <col min="16130" max="16130" width="35.28515625" customWidth="1"/>
    <col min="16131" max="16137" width="10.7109375" customWidth="1"/>
  </cols>
  <sheetData>
    <row r="1" spans="1:15">
      <c r="A1" s="1"/>
      <c r="B1" s="2"/>
      <c r="C1" s="2"/>
      <c r="D1" s="2" t="s">
        <v>0</v>
      </c>
      <c r="E1" s="1"/>
      <c r="F1" s="1"/>
      <c r="G1" s="120"/>
    </row>
    <row r="2" spans="1:15">
      <c r="A2" s="3" t="s">
        <v>1</v>
      </c>
      <c r="B2" s="2"/>
      <c r="C2" s="2"/>
      <c r="D2" s="3" t="s">
        <v>201</v>
      </c>
      <c r="E2" s="1"/>
      <c r="F2" s="1"/>
      <c r="G2" s="120"/>
    </row>
    <row r="3" spans="1:15">
      <c r="A3" s="2" t="s">
        <v>2</v>
      </c>
      <c r="B3" s="2"/>
      <c r="C3" s="2"/>
      <c r="D3" s="2" t="s">
        <v>3</v>
      </c>
      <c r="E3" s="1"/>
      <c r="F3" s="1"/>
      <c r="G3" s="120"/>
    </row>
    <row r="4" spans="1:15">
      <c r="A4" s="2"/>
      <c r="B4" s="2"/>
      <c r="C4" s="2"/>
      <c r="D4" s="2" t="s">
        <v>202</v>
      </c>
      <c r="E4" s="1"/>
      <c r="F4" s="1"/>
      <c r="G4" s="120"/>
    </row>
    <row r="5" spans="1:15">
      <c r="A5" s="1"/>
      <c r="B5" s="1"/>
      <c r="C5" s="1"/>
      <c r="D5" s="1"/>
      <c r="E5" s="1"/>
      <c r="F5" s="1"/>
      <c r="G5" s="122"/>
    </row>
    <row r="6" spans="1:15">
      <c r="A6" s="132" t="s">
        <v>4</v>
      </c>
      <c r="B6" s="4"/>
      <c r="C6" s="5"/>
      <c r="D6" s="134" t="s">
        <v>5</v>
      </c>
      <c r="E6" s="136">
        <v>2015</v>
      </c>
      <c r="F6" s="138">
        <v>2016</v>
      </c>
      <c r="G6" s="136">
        <v>2017</v>
      </c>
      <c r="H6" s="145">
        <v>2018</v>
      </c>
      <c r="I6" s="134"/>
      <c r="J6" s="144">
        <v>2019</v>
      </c>
      <c r="K6" s="145"/>
      <c r="L6" s="142">
        <v>2020</v>
      </c>
      <c r="M6" s="143"/>
      <c r="N6" s="140">
        <v>2021</v>
      </c>
      <c r="O6" s="141"/>
    </row>
    <row r="7" spans="1:15">
      <c r="A7" s="133"/>
      <c r="B7" s="6"/>
      <c r="C7" s="7"/>
      <c r="D7" s="135"/>
      <c r="E7" s="137"/>
      <c r="F7" s="139"/>
      <c r="G7" s="137"/>
      <c r="H7" s="147"/>
      <c r="I7" s="135"/>
      <c r="J7" s="146"/>
      <c r="K7" s="147"/>
      <c r="L7" s="142"/>
      <c r="M7" s="143"/>
      <c r="N7" s="140"/>
      <c r="O7" s="141"/>
    </row>
    <row r="8" spans="1:15">
      <c r="A8" s="8"/>
      <c r="B8" s="9"/>
      <c r="C8" s="10"/>
      <c r="D8" s="11"/>
      <c r="E8" s="61"/>
      <c r="F8" s="104"/>
      <c r="G8" s="88"/>
      <c r="H8" s="12" t="s">
        <v>6</v>
      </c>
      <c r="I8" s="12" t="s">
        <v>7</v>
      </c>
      <c r="J8" s="106" t="s">
        <v>6</v>
      </c>
      <c r="K8" s="62" t="s">
        <v>7</v>
      </c>
      <c r="L8" s="78" t="str">
        <f>J8</f>
        <v>wisnus</v>
      </c>
      <c r="M8" s="85" t="str">
        <f>K8</f>
        <v>wisman</v>
      </c>
      <c r="N8" s="89" t="str">
        <f>L8</f>
        <v>wisnus</v>
      </c>
      <c r="O8" s="90" t="str">
        <f>M8</f>
        <v>wisman</v>
      </c>
    </row>
    <row r="9" spans="1:15">
      <c r="A9" s="9"/>
      <c r="B9" s="13"/>
      <c r="C9" s="14"/>
      <c r="D9" s="15"/>
      <c r="E9" s="17"/>
      <c r="F9" s="13"/>
      <c r="G9" s="17"/>
      <c r="H9" s="18"/>
      <c r="I9" s="18"/>
      <c r="J9" s="107"/>
      <c r="K9" s="63"/>
      <c r="L9" s="79"/>
      <c r="M9" s="86"/>
      <c r="N9" s="91"/>
      <c r="O9" s="92"/>
    </row>
    <row r="10" spans="1:15">
      <c r="A10" s="19" t="s">
        <v>8</v>
      </c>
      <c r="B10" s="20"/>
      <c r="C10" s="2" t="s">
        <v>9</v>
      </c>
      <c r="D10" s="15"/>
      <c r="E10" s="17"/>
      <c r="F10" s="13"/>
      <c r="G10" s="17"/>
      <c r="H10" s="21"/>
      <c r="I10" s="21"/>
      <c r="J10" s="108"/>
      <c r="K10" s="64"/>
      <c r="L10" s="80"/>
      <c r="M10" s="87"/>
      <c r="N10" s="93"/>
      <c r="O10" s="94"/>
    </row>
    <row r="11" spans="1:15">
      <c r="A11" s="9">
        <v>1</v>
      </c>
      <c r="B11" s="13"/>
      <c r="C11" s="14"/>
      <c r="D11" s="15" t="s">
        <v>10</v>
      </c>
      <c r="E11" s="16">
        <v>37532</v>
      </c>
      <c r="F11" s="69">
        <v>38437</v>
      </c>
      <c r="G11" s="22">
        <v>31693</v>
      </c>
      <c r="H11" s="23">
        <v>18927</v>
      </c>
      <c r="I11" s="23">
        <v>16704</v>
      </c>
      <c r="J11" s="109">
        <v>18815</v>
      </c>
      <c r="K11" s="65">
        <v>13457</v>
      </c>
      <c r="L11" s="81">
        <v>4248</v>
      </c>
      <c r="M11" s="82">
        <v>3082</v>
      </c>
      <c r="N11" s="123">
        <v>1991</v>
      </c>
      <c r="O11" s="124">
        <v>86</v>
      </c>
    </row>
    <row r="12" spans="1:15">
      <c r="A12" s="9">
        <v>2</v>
      </c>
      <c r="B12" s="13"/>
      <c r="C12" s="14"/>
      <c r="D12" s="15" t="s">
        <v>11</v>
      </c>
      <c r="E12" s="16">
        <v>5265</v>
      </c>
      <c r="F12" s="69">
        <v>6194</v>
      </c>
      <c r="G12" s="16">
        <v>5229</v>
      </c>
      <c r="H12" s="23">
        <v>1798</v>
      </c>
      <c r="I12" s="23">
        <v>3324</v>
      </c>
      <c r="J12" s="109">
        <v>1108</v>
      </c>
      <c r="K12" s="65">
        <v>2476</v>
      </c>
      <c r="L12" s="81">
        <v>1345</v>
      </c>
      <c r="M12" s="82">
        <v>413</v>
      </c>
      <c r="N12" s="123">
        <v>131</v>
      </c>
      <c r="O12" s="124">
        <v>1</v>
      </c>
    </row>
    <row r="13" spans="1:15">
      <c r="A13" s="9">
        <v>3</v>
      </c>
      <c r="B13" s="13"/>
      <c r="C13" s="14"/>
      <c r="D13" s="15" t="s">
        <v>12</v>
      </c>
      <c r="E13" s="16">
        <v>15704</v>
      </c>
      <c r="F13" s="69">
        <v>14345</v>
      </c>
      <c r="G13" s="16">
        <v>10300</v>
      </c>
      <c r="H13" s="23">
        <v>5078</v>
      </c>
      <c r="I13" s="23">
        <v>2286</v>
      </c>
      <c r="J13" s="109">
        <v>6357</v>
      </c>
      <c r="K13" s="65">
        <v>1196</v>
      </c>
      <c r="L13" s="81">
        <v>717</v>
      </c>
      <c r="M13" s="82">
        <v>93</v>
      </c>
      <c r="N13" s="123">
        <v>1903</v>
      </c>
      <c r="O13" s="124">
        <v>12</v>
      </c>
    </row>
    <row r="14" spans="1:15">
      <c r="A14" s="9">
        <v>4</v>
      </c>
      <c r="B14" s="13"/>
      <c r="C14" s="14"/>
      <c r="D14" s="15" t="s">
        <v>13</v>
      </c>
      <c r="E14" s="16">
        <v>125643</v>
      </c>
      <c r="F14" s="69">
        <v>16303</v>
      </c>
      <c r="G14" s="16">
        <v>28005</v>
      </c>
      <c r="H14" s="23">
        <v>9799</v>
      </c>
      <c r="I14" s="23">
        <v>28628</v>
      </c>
      <c r="J14" s="109">
        <v>12568</v>
      </c>
      <c r="K14" s="65">
        <v>35709</v>
      </c>
      <c r="L14" s="81">
        <v>2395</v>
      </c>
      <c r="M14" s="82">
        <v>2595</v>
      </c>
      <c r="N14" s="97">
        <v>1404</v>
      </c>
      <c r="O14" s="96">
        <v>214</v>
      </c>
    </row>
    <row r="15" spans="1:15">
      <c r="A15" s="9">
        <v>5</v>
      </c>
      <c r="B15" s="13"/>
      <c r="C15" s="14"/>
      <c r="D15" s="15" t="s">
        <v>14</v>
      </c>
      <c r="E15" s="16">
        <v>463</v>
      </c>
      <c r="F15" s="69">
        <v>313</v>
      </c>
      <c r="G15" s="16">
        <v>211</v>
      </c>
      <c r="H15" s="23">
        <v>121</v>
      </c>
      <c r="I15" s="23">
        <v>133</v>
      </c>
      <c r="J15" s="109">
        <v>0</v>
      </c>
      <c r="K15" s="65">
        <v>0</v>
      </c>
      <c r="L15" s="81">
        <v>0</v>
      </c>
      <c r="M15" s="82">
        <v>0</v>
      </c>
      <c r="N15" s="97">
        <v>73</v>
      </c>
      <c r="O15" s="96">
        <v>0</v>
      </c>
    </row>
    <row r="16" spans="1:15">
      <c r="A16" s="9">
        <v>6</v>
      </c>
      <c r="B16" s="13"/>
      <c r="C16" s="14"/>
      <c r="D16" s="15" t="s">
        <v>15</v>
      </c>
      <c r="E16" s="16">
        <v>13592</v>
      </c>
      <c r="F16" s="71">
        <v>11123</v>
      </c>
      <c r="G16" s="24">
        <v>10464</v>
      </c>
      <c r="H16" s="25">
        <v>0</v>
      </c>
      <c r="I16" s="25">
        <v>7856</v>
      </c>
      <c r="J16" s="110">
        <v>0</v>
      </c>
      <c r="K16" s="66">
        <v>6035</v>
      </c>
      <c r="L16" s="81">
        <v>0</v>
      </c>
      <c r="M16" s="82">
        <v>1319</v>
      </c>
      <c r="N16" s="97">
        <v>0</v>
      </c>
      <c r="O16" s="96">
        <v>0</v>
      </c>
    </row>
    <row r="17" spans="1:15">
      <c r="A17" s="9">
        <v>7</v>
      </c>
      <c r="B17" s="13"/>
      <c r="C17" s="14"/>
      <c r="D17" s="15" t="s">
        <v>16</v>
      </c>
      <c r="E17" s="16">
        <v>20533</v>
      </c>
      <c r="F17" s="69">
        <v>4114</v>
      </c>
      <c r="G17" s="26">
        <v>0</v>
      </c>
      <c r="H17" s="27">
        <v>0</v>
      </c>
      <c r="I17" s="27">
        <v>0</v>
      </c>
      <c r="J17" s="111">
        <v>0</v>
      </c>
      <c r="K17" s="67">
        <v>9836</v>
      </c>
      <c r="L17" s="81">
        <v>0</v>
      </c>
      <c r="M17" s="82">
        <v>2660</v>
      </c>
      <c r="N17" s="97">
        <v>0</v>
      </c>
      <c r="O17" s="96">
        <v>0</v>
      </c>
    </row>
    <row r="18" spans="1:15">
      <c r="A18" s="9">
        <v>8</v>
      </c>
      <c r="B18" s="13"/>
      <c r="C18" s="14"/>
      <c r="D18" s="15" t="s">
        <v>18</v>
      </c>
      <c r="E18" s="16">
        <v>6937</v>
      </c>
      <c r="F18" s="69">
        <v>425</v>
      </c>
      <c r="G18" s="16">
        <v>429</v>
      </c>
      <c r="H18" s="23">
        <v>696</v>
      </c>
      <c r="I18" s="23">
        <v>153</v>
      </c>
      <c r="J18" s="109">
        <v>705</v>
      </c>
      <c r="K18" s="65">
        <v>80</v>
      </c>
      <c r="L18" s="81">
        <v>147</v>
      </c>
      <c r="M18" s="82">
        <v>14</v>
      </c>
      <c r="N18" s="123">
        <v>223</v>
      </c>
      <c r="O18" s="96">
        <v>23</v>
      </c>
    </row>
    <row r="19" spans="1:15">
      <c r="A19" s="9">
        <v>9</v>
      </c>
      <c r="B19" s="13"/>
      <c r="C19" s="14"/>
      <c r="D19" s="15" t="s">
        <v>19</v>
      </c>
      <c r="E19" s="16">
        <v>135920</v>
      </c>
      <c r="F19" s="69">
        <v>251438</v>
      </c>
      <c r="G19" s="16">
        <v>237251</v>
      </c>
      <c r="H19" s="23">
        <v>170410</v>
      </c>
      <c r="I19" s="23">
        <v>50529</v>
      </c>
      <c r="J19" s="109">
        <v>159322</v>
      </c>
      <c r="K19" s="65">
        <v>33787</v>
      </c>
      <c r="L19" s="81">
        <v>37443</v>
      </c>
      <c r="M19" s="82">
        <v>4736</v>
      </c>
      <c r="N19" s="97">
        <v>6325</v>
      </c>
      <c r="O19" s="96">
        <v>198</v>
      </c>
    </row>
    <row r="20" spans="1:15">
      <c r="A20" s="9">
        <v>10</v>
      </c>
      <c r="B20" s="13"/>
      <c r="C20" s="14"/>
      <c r="D20" s="15" t="s">
        <v>20</v>
      </c>
      <c r="E20" s="16">
        <v>17088</v>
      </c>
      <c r="F20" s="69">
        <v>17064</v>
      </c>
      <c r="G20" s="16">
        <v>22642</v>
      </c>
      <c r="H20" s="23">
        <v>17449</v>
      </c>
      <c r="I20" s="23">
        <v>21</v>
      </c>
      <c r="J20" s="109">
        <v>12278</v>
      </c>
      <c r="K20" s="65">
        <v>48</v>
      </c>
      <c r="L20" s="81">
        <v>831</v>
      </c>
      <c r="M20" s="82">
        <v>1946</v>
      </c>
      <c r="N20" s="97">
        <v>0</v>
      </c>
      <c r="O20" s="96">
        <v>0</v>
      </c>
    </row>
    <row r="21" spans="1:15">
      <c r="A21" s="9">
        <v>11</v>
      </c>
      <c r="B21" s="13"/>
      <c r="C21" s="14"/>
      <c r="D21" s="15" t="s">
        <v>21</v>
      </c>
      <c r="E21" s="24">
        <v>74311</v>
      </c>
      <c r="F21" s="71">
        <v>78170</v>
      </c>
      <c r="G21" s="24">
        <v>223572</v>
      </c>
      <c r="H21" s="25">
        <v>58781</v>
      </c>
      <c r="I21" s="25">
        <v>7489</v>
      </c>
      <c r="J21" s="110">
        <v>67884</v>
      </c>
      <c r="K21" s="66">
        <v>1511</v>
      </c>
      <c r="L21" s="81">
        <v>4027</v>
      </c>
      <c r="M21" s="82">
        <v>95</v>
      </c>
      <c r="N21" s="97">
        <v>4770</v>
      </c>
      <c r="O21" s="96">
        <v>0</v>
      </c>
    </row>
    <row r="22" spans="1:15">
      <c r="A22" s="9">
        <v>12</v>
      </c>
      <c r="B22" s="13"/>
      <c r="C22" s="14"/>
      <c r="D22" s="15" t="s">
        <v>22</v>
      </c>
      <c r="E22" s="24">
        <v>2973</v>
      </c>
      <c r="F22" s="71">
        <v>2276</v>
      </c>
      <c r="G22" s="24">
        <v>440</v>
      </c>
      <c r="H22" s="25">
        <v>1835</v>
      </c>
      <c r="I22" s="25">
        <v>507</v>
      </c>
      <c r="J22" s="110">
        <v>0</v>
      </c>
      <c r="K22" s="66">
        <v>0</v>
      </c>
      <c r="L22" s="81">
        <v>0</v>
      </c>
      <c r="M22" s="82">
        <v>0</v>
      </c>
      <c r="N22" s="97">
        <v>0</v>
      </c>
      <c r="O22" s="96">
        <v>0</v>
      </c>
    </row>
    <row r="23" spans="1:15">
      <c r="A23" s="9">
        <v>13</v>
      </c>
      <c r="B23" s="13"/>
      <c r="C23" s="14"/>
      <c r="D23" s="15" t="s">
        <v>23</v>
      </c>
      <c r="E23" s="24" t="s">
        <v>17</v>
      </c>
      <c r="F23" s="70" t="s">
        <v>17</v>
      </c>
      <c r="G23" s="26" t="s">
        <v>17</v>
      </c>
      <c r="H23" s="27" t="s">
        <v>17</v>
      </c>
      <c r="I23" s="27" t="s">
        <v>17</v>
      </c>
      <c r="J23" s="111" t="s">
        <v>17</v>
      </c>
      <c r="K23" s="67" t="s">
        <v>17</v>
      </c>
      <c r="L23" s="81">
        <v>0</v>
      </c>
      <c r="M23" s="82">
        <v>0</v>
      </c>
      <c r="N23" s="97">
        <v>68</v>
      </c>
      <c r="O23" s="96">
        <v>5</v>
      </c>
    </row>
    <row r="24" spans="1:15">
      <c r="A24" s="9">
        <v>14</v>
      </c>
      <c r="B24" s="13"/>
      <c r="C24" s="14"/>
      <c r="D24" s="15" t="s">
        <v>24</v>
      </c>
      <c r="E24" s="24" t="s">
        <v>17</v>
      </c>
      <c r="F24" s="70" t="s">
        <v>17</v>
      </c>
      <c r="G24" s="26" t="s">
        <v>17</v>
      </c>
      <c r="H24" s="27">
        <v>862623</v>
      </c>
      <c r="I24" s="27">
        <v>22164</v>
      </c>
      <c r="J24" s="111">
        <v>490</v>
      </c>
      <c r="K24" s="67">
        <v>0</v>
      </c>
      <c r="L24" s="81">
        <v>0</v>
      </c>
      <c r="M24" s="82">
        <v>0</v>
      </c>
      <c r="N24" s="97">
        <v>0</v>
      </c>
      <c r="O24" s="96">
        <v>0</v>
      </c>
    </row>
    <row r="25" spans="1:15">
      <c r="A25" s="9">
        <v>15</v>
      </c>
      <c r="B25" s="13"/>
      <c r="C25" s="14"/>
      <c r="D25" s="15" t="s">
        <v>25</v>
      </c>
      <c r="E25" s="24" t="s">
        <v>17</v>
      </c>
      <c r="F25" s="70" t="s">
        <v>17</v>
      </c>
      <c r="G25" s="26" t="s">
        <v>17</v>
      </c>
      <c r="H25" s="27">
        <v>724693</v>
      </c>
      <c r="I25" s="27">
        <v>3910</v>
      </c>
      <c r="J25" s="111">
        <v>529060</v>
      </c>
      <c r="K25" s="67">
        <v>1205128</v>
      </c>
      <c r="L25" s="81">
        <v>0</v>
      </c>
      <c r="M25" s="82">
        <v>0</v>
      </c>
      <c r="N25" s="97">
        <v>0</v>
      </c>
      <c r="O25" s="96">
        <v>0</v>
      </c>
    </row>
    <row r="26" spans="1:15">
      <c r="A26" s="9">
        <v>16</v>
      </c>
      <c r="B26" s="13"/>
      <c r="C26" s="14"/>
      <c r="D26" s="15" t="s">
        <v>26</v>
      </c>
      <c r="E26" s="24" t="s">
        <v>17</v>
      </c>
      <c r="F26" s="70" t="s">
        <v>17</v>
      </c>
      <c r="G26" s="26" t="s">
        <v>17</v>
      </c>
      <c r="H26" s="98">
        <v>8200</v>
      </c>
      <c r="I26" s="98">
        <v>57151</v>
      </c>
      <c r="J26" s="112">
        <v>3582</v>
      </c>
      <c r="K26" s="99">
        <v>44760</v>
      </c>
      <c r="L26" s="81">
        <v>375</v>
      </c>
      <c r="M26" s="82">
        <v>6300</v>
      </c>
      <c r="N26" s="97">
        <v>28</v>
      </c>
      <c r="O26" s="96">
        <v>0</v>
      </c>
    </row>
    <row r="27" spans="1:15">
      <c r="A27" s="9">
        <v>17</v>
      </c>
      <c r="B27" s="13"/>
      <c r="C27" s="14"/>
      <c r="D27" s="15" t="s">
        <v>204</v>
      </c>
      <c r="E27" s="24"/>
      <c r="F27" s="70"/>
      <c r="G27" s="26"/>
      <c r="H27" s="102"/>
      <c r="I27" s="102"/>
      <c r="J27" s="113"/>
      <c r="K27" s="102"/>
      <c r="L27" s="100">
        <v>0</v>
      </c>
      <c r="M27" s="100">
        <v>0</v>
      </c>
      <c r="N27" s="125">
        <v>20</v>
      </c>
      <c r="O27" s="126">
        <v>2</v>
      </c>
    </row>
    <row r="28" spans="1:15">
      <c r="A28" s="9">
        <v>18</v>
      </c>
      <c r="B28" s="13"/>
      <c r="C28" s="14"/>
      <c r="D28" s="15" t="s">
        <v>212</v>
      </c>
      <c r="E28" s="24"/>
      <c r="F28" s="70"/>
      <c r="G28" s="26"/>
      <c r="H28" s="102"/>
      <c r="I28" s="102"/>
      <c r="J28" s="113"/>
      <c r="K28" s="102"/>
      <c r="L28" s="100"/>
      <c r="M28" s="100">
        <v>0</v>
      </c>
      <c r="N28" s="126">
        <v>61991</v>
      </c>
      <c r="O28" s="126">
        <v>949</v>
      </c>
    </row>
    <row r="29" spans="1:15">
      <c r="A29" s="9">
        <v>19</v>
      </c>
      <c r="B29" s="13"/>
      <c r="C29" s="14"/>
      <c r="D29" s="15" t="s">
        <v>205</v>
      </c>
      <c r="E29" s="24"/>
      <c r="F29" s="70"/>
      <c r="G29" s="26"/>
      <c r="H29" s="102"/>
      <c r="I29" s="102"/>
      <c r="J29" s="113"/>
      <c r="K29" s="102"/>
      <c r="L29" s="100">
        <v>0</v>
      </c>
      <c r="M29" s="100">
        <v>0</v>
      </c>
      <c r="N29" s="126">
        <v>201967</v>
      </c>
      <c r="O29" s="126">
        <v>7189</v>
      </c>
    </row>
    <row r="30" spans="1:15">
      <c r="A30" s="9">
        <v>20</v>
      </c>
      <c r="B30" s="13"/>
      <c r="C30" s="14"/>
      <c r="D30" s="15" t="s">
        <v>206</v>
      </c>
      <c r="E30" s="24"/>
      <c r="F30" s="70"/>
      <c r="G30" s="26"/>
      <c r="H30" s="102"/>
      <c r="I30" s="102"/>
      <c r="J30" s="113"/>
      <c r="K30" s="102"/>
      <c r="L30" s="100">
        <v>0</v>
      </c>
      <c r="M30" s="100">
        <v>0</v>
      </c>
      <c r="N30" s="126">
        <v>12732</v>
      </c>
      <c r="O30" s="126">
        <v>542</v>
      </c>
    </row>
    <row r="31" spans="1:15">
      <c r="A31" s="9">
        <v>21</v>
      </c>
      <c r="B31" s="13"/>
      <c r="C31" s="14"/>
      <c r="D31" s="15" t="s">
        <v>207</v>
      </c>
      <c r="E31" s="24"/>
      <c r="F31" s="70"/>
      <c r="G31" s="26"/>
      <c r="H31" s="102"/>
      <c r="I31" s="102"/>
      <c r="J31" s="113"/>
      <c r="K31" s="102"/>
      <c r="L31" s="100">
        <v>0</v>
      </c>
      <c r="M31" s="100">
        <v>0</v>
      </c>
      <c r="N31" s="126">
        <v>11855</v>
      </c>
      <c r="O31" s="126">
        <v>513</v>
      </c>
    </row>
    <row r="32" spans="1:15">
      <c r="A32" s="9">
        <v>22</v>
      </c>
      <c r="B32" s="13"/>
      <c r="C32" s="14"/>
      <c r="D32" s="15" t="s">
        <v>213</v>
      </c>
      <c r="E32" s="24"/>
      <c r="F32" s="70"/>
      <c r="G32" s="26"/>
      <c r="H32" s="102"/>
      <c r="I32" s="102"/>
      <c r="J32" s="113"/>
      <c r="K32" s="102"/>
      <c r="L32" s="100">
        <v>0</v>
      </c>
      <c r="M32" s="100">
        <v>0</v>
      </c>
      <c r="N32" s="126">
        <v>3068</v>
      </c>
      <c r="O32" s="126">
        <v>99</v>
      </c>
    </row>
    <row r="33" spans="1:15">
      <c r="A33" s="9">
        <v>23</v>
      </c>
      <c r="B33" s="13"/>
      <c r="C33" s="14"/>
      <c r="D33" s="15" t="s">
        <v>214</v>
      </c>
      <c r="E33" s="24"/>
      <c r="F33" s="70"/>
      <c r="G33" s="26"/>
      <c r="H33" s="102"/>
      <c r="I33" s="102"/>
      <c r="J33" s="113"/>
      <c r="K33" s="102"/>
      <c r="L33" s="100"/>
      <c r="M33" s="100"/>
      <c r="N33" s="126">
        <v>21542</v>
      </c>
      <c r="O33" s="126">
        <v>757</v>
      </c>
    </row>
    <row r="34" spans="1:15">
      <c r="A34" s="9">
        <v>24</v>
      </c>
      <c r="B34" s="13"/>
      <c r="C34" s="14"/>
      <c r="D34" s="15" t="s">
        <v>208</v>
      </c>
      <c r="E34" s="24"/>
      <c r="F34" s="70"/>
      <c r="G34" s="26"/>
      <c r="H34" s="102"/>
      <c r="I34" s="102"/>
      <c r="J34" s="113"/>
      <c r="K34" s="102"/>
      <c r="L34" s="100">
        <v>0</v>
      </c>
      <c r="M34" s="100">
        <v>0</v>
      </c>
      <c r="N34" s="126">
        <v>33362</v>
      </c>
      <c r="O34" s="126">
        <v>1506</v>
      </c>
    </row>
    <row r="35" spans="1:15">
      <c r="A35" s="9">
        <v>25</v>
      </c>
      <c r="B35" s="13"/>
      <c r="C35" s="14"/>
      <c r="D35" s="15" t="s">
        <v>209</v>
      </c>
      <c r="E35" s="24"/>
      <c r="F35" s="70"/>
      <c r="G35" s="26"/>
      <c r="H35" s="102"/>
      <c r="I35" s="102"/>
      <c r="J35" s="113"/>
      <c r="K35" s="102"/>
      <c r="L35" s="100">
        <v>0</v>
      </c>
      <c r="M35" s="100">
        <v>0</v>
      </c>
      <c r="N35" s="127">
        <v>0</v>
      </c>
      <c r="O35" s="127">
        <v>0</v>
      </c>
    </row>
    <row r="36" spans="1:15">
      <c r="A36" s="9">
        <v>26</v>
      </c>
      <c r="B36" s="13"/>
      <c r="C36" s="14"/>
      <c r="D36" s="15" t="s">
        <v>210</v>
      </c>
      <c r="E36" s="24"/>
      <c r="F36" s="70"/>
      <c r="G36" s="26"/>
      <c r="H36" s="102"/>
      <c r="I36" s="102"/>
      <c r="J36" s="113"/>
      <c r="K36" s="102"/>
      <c r="L36" s="100">
        <v>0</v>
      </c>
      <c r="M36" s="100">
        <v>0</v>
      </c>
      <c r="N36" s="127">
        <v>34662</v>
      </c>
      <c r="O36" s="127">
        <v>1751</v>
      </c>
    </row>
    <row r="37" spans="1:15">
      <c r="A37" s="9">
        <v>27</v>
      </c>
      <c r="B37" s="13"/>
      <c r="C37" s="14"/>
      <c r="D37" s="15" t="s">
        <v>211</v>
      </c>
      <c r="E37" s="24"/>
      <c r="F37" s="70"/>
      <c r="G37" s="26"/>
      <c r="H37" s="103"/>
      <c r="I37" s="103"/>
      <c r="J37" s="114"/>
      <c r="K37" s="103"/>
      <c r="L37" s="101">
        <v>0</v>
      </c>
      <c r="M37" s="101">
        <v>0</v>
      </c>
      <c r="N37" s="128">
        <v>20860</v>
      </c>
      <c r="O37" s="128">
        <v>634</v>
      </c>
    </row>
    <row r="38" spans="1:15">
      <c r="A38" s="19" t="s">
        <v>28</v>
      </c>
      <c r="B38" s="28"/>
      <c r="C38" s="29" t="s">
        <v>27</v>
      </c>
      <c r="D38" s="29"/>
      <c r="E38" s="30">
        <f>SUM(E11:E23)</f>
        <v>455961</v>
      </c>
      <c r="F38" s="68">
        <f>SUM(F11:F23)</f>
        <v>440202</v>
      </c>
      <c r="G38" s="30">
        <f>SUM(G11:G23)</f>
        <v>570236</v>
      </c>
      <c r="H38" s="30">
        <f t="shared" ref="H38:O38" si="0">SUM(H11:H37)</f>
        <v>1880410</v>
      </c>
      <c r="I38" s="30">
        <f t="shared" si="0"/>
        <v>200855</v>
      </c>
      <c r="J38" s="115">
        <f t="shared" si="0"/>
        <v>812169</v>
      </c>
      <c r="K38" s="68">
        <f t="shared" si="0"/>
        <v>1354023</v>
      </c>
      <c r="L38" s="68">
        <f t="shared" si="0"/>
        <v>51528</v>
      </c>
      <c r="M38" s="30">
        <f t="shared" si="0"/>
        <v>23253</v>
      </c>
      <c r="N38" s="68">
        <f t="shared" si="0"/>
        <v>418975</v>
      </c>
      <c r="O38" s="30">
        <f t="shared" si="0"/>
        <v>14481</v>
      </c>
    </row>
    <row r="39" spans="1:15">
      <c r="A39" s="9">
        <v>1</v>
      </c>
      <c r="B39" s="20"/>
      <c r="C39" s="2" t="s">
        <v>29</v>
      </c>
      <c r="D39" s="31"/>
      <c r="E39" s="16"/>
      <c r="F39" s="69"/>
      <c r="G39" s="16"/>
      <c r="H39" s="16"/>
      <c r="I39" s="16"/>
      <c r="J39" s="41"/>
      <c r="K39" s="69"/>
      <c r="L39" s="80"/>
      <c r="M39" s="87"/>
      <c r="N39" s="80"/>
      <c r="O39" s="87"/>
    </row>
    <row r="40" spans="1:15">
      <c r="A40" s="9">
        <v>2</v>
      </c>
      <c r="B40" s="13"/>
      <c r="C40" s="14"/>
      <c r="D40" s="15" t="s">
        <v>30</v>
      </c>
      <c r="E40" s="16">
        <v>82403</v>
      </c>
      <c r="F40" s="69">
        <v>139265</v>
      </c>
      <c r="G40" s="16">
        <v>145422</v>
      </c>
      <c r="H40" s="16">
        <v>89372</v>
      </c>
      <c r="I40" s="16">
        <v>50395</v>
      </c>
      <c r="J40" s="41">
        <v>79756</v>
      </c>
      <c r="K40" s="69">
        <v>63156</v>
      </c>
      <c r="L40" s="83">
        <v>37265</v>
      </c>
      <c r="M40" s="82">
        <v>14221</v>
      </c>
      <c r="N40" s="95">
        <v>29521</v>
      </c>
      <c r="O40" s="96">
        <v>1290</v>
      </c>
    </row>
    <row r="41" spans="1:15">
      <c r="A41" s="9">
        <v>3</v>
      </c>
      <c r="B41" s="13"/>
      <c r="C41" s="14"/>
      <c r="D41" s="15" t="s">
        <v>31</v>
      </c>
      <c r="E41" s="16">
        <v>363507</v>
      </c>
      <c r="F41" s="69">
        <v>369963</v>
      </c>
      <c r="G41" s="16">
        <v>697468</v>
      </c>
      <c r="H41" s="16">
        <v>79044</v>
      </c>
      <c r="I41" s="16">
        <v>341758</v>
      </c>
      <c r="J41" s="41">
        <v>99715</v>
      </c>
      <c r="K41" s="69">
        <v>308777</v>
      </c>
      <c r="L41" s="83">
        <v>14464</v>
      </c>
      <c r="M41" s="82">
        <v>45272</v>
      </c>
      <c r="N41" s="95">
        <v>11719</v>
      </c>
      <c r="O41" s="96">
        <v>535</v>
      </c>
    </row>
    <row r="42" spans="1:15">
      <c r="A42" s="9">
        <v>4</v>
      </c>
      <c r="B42" s="13"/>
      <c r="C42" s="14"/>
      <c r="D42" s="15" t="s">
        <v>32</v>
      </c>
      <c r="E42" s="16">
        <v>1774009</v>
      </c>
      <c r="F42" s="69">
        <v>1591674</v>
      </c>
      <c r="G42" s="16">
        <v>2236506</v>
      </c>
      <c r="H42" s="16">
        <v>559479</v>
      </c>
      <c r="I42" s="16">
        <v>1898985</v>
      </c>
      <c r="J42" s="41">
        <v>478874</v>
      </c>
      <c r="K42" s="69">
        <v>1790851</v>
      </c>
      <c r="L42" s="83">
        <v>142615</v>
      </c>
      <c r="M42" s="82">
        <v>256223</v>
      </c>
      <c r="N42" s="95">
        <v>144646</v>
      </c>
      <c r="O42" s="96">
        <v>6686</v>
      </c>
    </row>
    <row r="43" spans="1:15">
      <c r="A43" s="9">
        <v>5</v>
      </c>
      <c r="B43" s="13"/>
      <c r="C43" s="14"/>
      <c r="D43" s="15" t="s">
        <v>33</v>
      </c>
      <c r="E43" s="16">
        <v>11680</v>
      </c>
      <c r="F43" s="69">
        <v>20504</v>
      </c>
      <c r="G43" s="16">
        <v>39174</v>
      </c>
      <c r="H43" s="16">
        <v>2343</v>
      </c>
      <c r="I43" s="16">
        <v>51289</v>
      </c>
      <c r="J43" s="41">
        <v>4420</v>
      </c>
      <c r="K43" s="69">
        <v>52619</v>
      </c>
      <c r="L43" s="83">
        <v>5125</v>
      </c>
      <c r="M43" s="82">
        <v>10978</v>
      </c>
      <c r="N43" s="95">
        <v>2372</v>
      </c>
      <c r="O43" s="96">
        <v>1371</v>
      </c>
    </row>
    <row r="44" spans="1:15">
      <c r="A44" s="9">
        <v>6</v>
      </c>
      <c r="B44" s="13"/>
      <c r="C44" s="14"/>
      <c r="D44" s="15" t="s">
        <v>34</v>
      </c>
      <c r="E44" s="16"/>
      <c r="F44" s="69">
        <v>906001</v>
      </c>
      <c r="G44" s="16">
        <v>1356321</v>
      </c>
      <c r="H44" s="16">
        <v>1045766</v>
      </c>
      <c r="I44" s="16">
        <v>240770</v>
      </c>
      <c r="J44" s="41">
        <v>822310</v>
      </c>
      <c r="K44" s="69">
        <v>218395</v>
      </c>
      <c r="L44" s="83">
        <v>537216</v>
      </c>
      <c r="M44" s="82">
        <v>48315</v>
      </c>
      <c r="N44" s="95">
        <v>362158</v>
      </c>
      <c r="O44" s="96">
        <v>6877</v>
      </c>
    </row>
    <row r="45" spans="1:15">
      <c r="A45" s="9">
        <v>7</v>
      </c>
      <c r="B45" s="13"/>
      <c r="C45" s="14"/>
      <c r="D45" s="15" t="s">
        <v>35</v>
      </c>
      <c r="E45" s="16"/>
      <c r="F45" s="69">
        <v>544460</v>
      </c>
      <c r="G45" s="16">
        <v>551050</v>
      </c>
      <c r="H45" s="16">
        <v>88704</v>
      </c>
      <c r="I45" s="16">
        <v>368744</v>
      </c>
      <c r="J45" s="41">
        <v>51483</v>
      </c>
      <c r="K45" s="69">
        <v>306696</v>
      </c>
      <c r="L45" s="83">
        <v>27044</v>
      </c>
      <c r="M45" s="82">
        <v>77779</v>
      </c>
      <c r="N45" s="95">
        <v>28242</v>
      </c>
      <c r="O45" s="96">
        <v>8021</v>
      </c>
    </row>
    <row r="46" spans="1:15">
      <c r="A46" s="9"/>
      <c r="B46" s="13"/>
      <c r="C46" s="14"/>
      <c r="D46" s="15" t="s">
        <v>203</v>
      </c>
      <c r="E46" s="16">
        <v>0</v>
      </c>
      <c r="F46" s="69">
        <v>0</v>
      </c>
      <c r="G46" s="16">
        <v>0</v>
      </c>
      <c r="H46" s="16">
        <v>0</v>
      </c>
      <c r="I46" s="16">
        <v>0</v>
      </c>
      <c r="J46" s="41">
        <v>0</v>
      </c>
      <c r="K46" s="69">
        <v>0</v>
      </c>
      <c r="L46" s="83">
        <v>0</v>
      </c>
      <c r="M46" s="82">
        <v>0</v>
      </c>
      <c r="N46" s="95">
        <v>0</v>
      </c>
      <c r="O46" s="96">
        <v>0</v>
      </c>
    </row>
    <row r="47" spans="1:15">
      <c r="A47" s="19" t="s">
        <v>36</v>
      </c>
      <c r="B47" s="28"/>
      <c r="C47" s="29" t="s">
        <v>27</v>
      </c>
      <c r="D47" s="33"/>
      <c r="E47" s="30">
        <f t="shared" ref="E47:F47" si="1">SUM(E40:E46)</f>
        <v>2231599</v>
      </c>
      <c r="F47" s="68">
        <f t="shared" si="1"/>
        <v>3571867</v>
      </c>
      <c r="G47" s="30">
        <f>SUM(G40:G46)</f>
        <v>5025941</v>
      </c>
      <c r="H47" s="30">
        <f t="shared" ref="H47:I47" si="2">SUM(H40:H46)</f>
        <v>1864708</v>
      </c>
      <c r="I47" s="30">
        <f t="shared" si="2"/>
        <v>2951941</v>
      </c>
      <c r="J47" s="115">
        <f t="shared" ref="J47:M47" si="3">SUM(J40:J46)</f>
        <v>1536558</v>
      </c>
      <c r="K47" s="68">
        <f t="shared" si="3"/>
        <v>2740494</v>
      </c>
      <c r="L47" s="68">
        <f t="shared" si="3"/>
        <v>763729</v>
      </c>
      <c r="M47" s="30">
        <f t="shared" si="3"/>
        <v>452788</v>
      </c>
      <c r="N47" s="68">
        <f t="shared" ref="N47:O47" si="4">SUM(N40:N46)</f>
        <v>578658</v>
      </c>
      <c r="O47" s="30">
        <f t="shared" si="4"/>
        <v>24780</v>
      </c>
    </row>
    <row r="48" spans="1:15">
      <c r="A48" s="9">
        <v>1</v>
      </c>
      <c r="B48" s="20"/>
      <c r="C48" s="2" t="s">
        <v>37</v>
      </c>
      <c r="D48" s="31"/>
      <c r="E48" s="16"/>
      <c r="F48" s="69"/>
      <c r="G48" s="16"/>
      <c r="H48" s="16"/>
      <c r="I48" s="16"/>
      <c r="J48" s="41"/>
      <c r="K48" s="69"/>
      <c r="L48" s="83"/>
      <c r="M48" s="82"/>
      <c r="N48" s="83"/>
      <c r="O48" s="82"/>
    </row>
    <row r="49" spans="1:15">
      <c r="A49" s="9">
        <v>2</v>
      </c>
      <c r="B49" s="20"/>
      <c r="C49" s="2"/>
      <c r="D49" s="15" t="s">
        <v>38</v>
      </c>
      <c r="E49" s="16">
        <v>290148</v>
      </c>
      <c r="F49" s="69">
        <v>315078</v>
      </c>
      <c r="G49" s="16">
        <v>370222</v>
      </c>
      <c r="H49" s="16">
        <v>23235</v>
      </c>
      <c r="I49" s="16">
        <v>367848</v>
      </c>
      <c r="J49" s="41">
        <v>28041</v>
      </c>
      <c r="K49" s="69">
        <v>322513</v>
      </c>
      <c r="L49" s="83">
        <v>7449</v>
      </c>
      <c r="M49" s="82">
        <v>45019</v>
      </c>
      <c r="N49" s="83">
        <v>6068</v>
      </c>
      <c r="O49" s="82">
        <v>1441</v>
      </c>
    </row>
    <row r="50" spans="1:15">
      <c r="A50" s="9">
        <v>3</v>
      </c>
      <c r="B50" s="20"/>
      <c r="C50" s="2"/>
      <c r="D50" s="15" t="s">
        <v>39</v>
      </c>
      <c r="E50" s="16">
        <v>157760</v>
      </c>
      <c r="F50" s="69">
        <v>182593</v>
      </c>
      <c r="G50" s="16">
        <v>229337</v>
      </c>
      <c r="H50" s="16">
        <v>3450</v>
      </c>
      <c r="I50" s="16">
        <v>211768</v>
      </c>
      <c r="J50" s="116">
        <v>11397</v>
      </c>
      <c r="K50" s="70">
        <v>171471</v>
      </c>
      <c r="L50" s="83">
        <v>3844</v>
      </c>
      <c r="M50" s="82">
        <v>21652</v>
      </c>
      <c r="N50" s="83">
        <v>3229</v>
      </c>
      <c r="O50" s="82">
        <v>1065</v>
      </c>
    </row>
    <row r="51" spans="1:15">
      <c r="A51" s="9">
        <v>4</v>
      </c>
      <c r="B51" s="20"/>
      <c r="C51" s="2"/>
      <c r="D51" s="15" t="s">
        <v>40</v>
      </c>
      <c r="E51" s="16">
        <v>30448</v>
      </c>
      <c r="F51" s="69">
        <v>34523</v>
      </c>
      <c r="G51" s="16">
        <v>37487</v>
      </c>
      <c r="H51" s="16">
        <v>951</v>
      </c>
      <c r="I51" s="16">
        <v>48819</v>
      </c>
      <c r="J51" s="41">
        <v>2051</v>
      </c>
      <c r="K51" s="69">
        <v>58188</v>
      </c>
      <c r="L51" s="83">
        <v>419</v>
      </c>
      <c r="M51" s="82">
        <v>8486</v>
      </c>
      <c r="N51" s="83">
        <v>334</v>
      </c>
      <c r="O51" s="82">
        <v>279</v>
      </c>
    </row>
    <row r="52" spans="1:15">
      <c r="A52" s="9">
        <v>5</v>
      </c>
      <c r="B52" s="20"/>
      <c r="C52" s="2"/>
      <c r="D52" s="15" t="s">
        <v>41</v>
      </c>
      <c r="E52" s="16">
        <v>450120</v>
      </c>
      <c r="F52" s="69">
        <v>524647</v>
      </c>
      <c r="G52" s="16">
        <v>642669</v>
      </c>
      <c r="H52" s="16">
        <v>135826</v>
      </c>
      <c r="I52" s="16">
        <v>631592</v>
      </c>
      <c r="J52" s="41">
        <v>138077</v>
      </c>
      <c r="K52" s="69">
        <v>887851</v>
      </c>
      <c r="L52" s="83">
        <v>46132</v>
      </c>
      <c r="M52" s="82">
        <v>150285</v>
      </c>
      <c r="N52" s="83">
        <v>42062</v>
      </c>
      <c r="O52" s="82">
        <v>3895</v>
      </c>
    </row>
    <row r="53" spans="1:15">
      <c r="A53" s="9">
        <v>6</v>
      </c>
      <c r="B53" s="20"/>
      <c r="C53" s="2"/>
      <c r="D53" s="15" t="s">
        <v>42</v>
      </c>
      <c r="E53" s="24" t="s">
        <v>17</v>
      </c>
      <c r="F53" s="70">
        <v>665303</v>
      </c>
      <c r="G53" s="26">
        <v>1343152</v>
      </c>
      <c r="H53" s="26">
        <v>79268</v>
      </c>
      <c r="I53" s="26">
        <v>1395627</v>
      </c>
      <c r="J53" s="116">
        <v>7092</v>
      </c>
      <c r="K53" s="70">
        <v>1548573</v>
      </c>
      <c r="L53" s="83">
        <v>0</v>
      </c>
      <c r="M53" s="82">
        <v>0</v>
      </c>
      <c r="N53" s="83">
        <v>0</v>
      </c>
      <c r="O53" s="82">
        <v>0</v>
      </c>
    </row>
    <row r="54" spans="1:15">
      <c r="A54" s="9">
        <v>7</v>
      </c>
      <c r="B54" s="20"/>
      <c r="C54" s="2"/>
      <c r="D54" s="15" t="s">
        <v>43</v>
      </c>
      <c r="E54" s="24">
        <v>8158</v>
      </c>
      <c r="F54" s="69">
        <v>8015</v>
      </c>
      <c r="G54" s="16">
        <v>8511</v>
      </c>
      <c r="H54" s="16">
        <v>51</v>
      </c>
      <c r="I54" s="16">
        <v>7449</v>
      </c>
      <c r="J54" s="41">
        <v>179</v>
      </c>
      <c r="K54" s="69">
        <v>5996</v>
      </c>
      <c r="L54" s="83">
        <v>170</v>
      </c>
      <c r="M54" s="82">
        <v>706</v>
      </c>
      <c r="N54" s="83">
        <v>155</v>
      </c>
      <c r="O54" s="82">
        <v>36</v>
      </c>
    </row>
    <row r="55" spans="1:15">
      <c r="A55" s="9">
        <v>8</v>
      </c>
      <c r="B55" s="20"/>
      <c r="C55" s="2"/>
      <c r="D55" s="15" t="s">
        <v>44</v>
      </c>
      <c r="E55" s="16">
        <v>111305</v>
      </c>
      <c r="F55" s="69">
        <v>125465</v>
      </c>
      <c r="G55" s="16">
        <v>118350</v>
      </c>
      <c r="H55" s="16">
        <v>50863</v>
      </c>
      <c r="I55" s="16">
        <v>76869</v>
      </c>
      <c r="J55" s="41">
        <v>61208</v>
      </c>
      <c r="K55" s="69">
        <v>87509</v>
      </c>
      <c r="L55" s="84" t="s">
        <v>17</v>
      </c>
      <c r="M55" s="84" t="s">
        <v>17</v>
      </c>
      <c r="N55" s="84">
        <v>0</v>
      </c>
      <c r="O55" s="84">
        <v>0</v>
      </c>
    </row>
    <row r="56" spans="1:15">
      <c r="A56" s="9">
        <v>9</v>
      </c>
      <c r="B56" s="20"/>
      <c r="C56" s="2"/>
      <c r="D56" s="15" t="s">
        <v>45</v>
      </c>
      <c r="E56" s="24">
        <v>251</v>
      </c>
      <c r="F56" s="69">
        <v>465</v>
      </c>
      <c r="G56" s="16">
        <v>333</v>
      </c>
      <c r="H56" s="26" t="s">
        <v>17</v>
      </c>
      <c r="I56" s="16">
        <v>216</v>
      </c>
      <c r="J56" s="116" t="s">
        <v>17</v>
      </c>
      <c r="K56" s="70" t="s">
        <v>17</v>
      </c>
      <c r="L56" s="84" t="s">
        <v>17</v>
      </c>
      <c r="M56" s="84" t="s">
        <v>17</v>
      </c>
      <c r="N56" s="84">
        <v>0</v>
      </c>
      <c r="O56" s="84">
        <v>0</v>
      </c>
    </row>
    <row r="57" spans="1:15">
      <c r="A57" s="9">
        <v>10</v>
      </c>
      <c r="B57" s="20"/>
      <c r="C57" s="2"/>
      <c r="D57" s="15" t="s">
        <v>46</v>
      </c>
      <c r="E57" s="24">
        <v>76411</v>
      </c>
      <c r="F57" s="69">
        <v>74122</v>
      </c>
      <c r="G57" s="16">
        <v>57050</v>
      </c>
      <c r="H57" s="26" t="s">
        <v>17</v>
      </c>
      <c r="I57" s="16">
        <v>66831</v>
      </c>
      <c r="J57" s="116" t="s">
        <v>17</v>
      </c>
      <c r="K57" s="69">
        <v>84916</v>
      </c>
      <c r="L57" s="84" t="s">
        <v>17</v>
      </c>
      <c r="M57" s="84" t="s">
        <v>17</v>
      </c>
      <c r="N57" s="84">
        <v>0</v>
      </c>
      <c r="O57" s="84">
        <v>0</v>
      </c>
    </row>
    <row r="58" spans="1:15">
      <c r="A58" s="9">
        <v>11</v>
      </c>
      <c r="B58" s="20"/>
      <c r="C58" s="2"/>
      <c r="D58" s="15" t="s">
        <v>47</v>
      </c>
      <c r="E58" s="24">
        <v>9058</v>
      </c>
      <c r="F58" s="71">
        <v>4883</v>
      </c>
      <c r="G58" s="24">
        <v>3688</v>
      </c>
      <c r="H58" s="24">
        <v>4475</v>
      </c>
      <c r="I58" s="24">
        <v>748</v>
      </c>
      <c r="J58" s="117">
        <v>5800</v>
      </c>
      <c r="K58" s="71">
        <v>609</v>
      </c>
      <c r="L58" s="84" t="s">
        <v>17</v>
      </c>
      <c r="M58" s="84" t="s">
        <v>17</v>
      </c>
      <c r="N58" s="84">
        <v>7</v>
      </c>
      <c r="O58" s="84">
        <v>0</v>
      </c>
    </row>
    <row r="59" spans="1:15">
      <c r="A59" s="9">
        <v>12</v>
      </c>
      <c r="B59" s="20"/>
      <c r="C59" s="2"/>
      <c r="D59" s="15" t="s">
        <v>48</v>
      </c>
      <c r="E59" s="16">
        <v>21591</v>
      </c>
      <c r="F59" s="69">
        <v>17113</v>
      </c>
      <c r="G59" s="16">
        <v>13384</v>
      </c>
      <c r="H59" s="16">
        <v>1128</v>
      </c>
      <c r="I59" s="16">
        <v>8466</v>
      </c>
      <c r="J59" s="41">
        <v>747</v>
      </c>
      <c r="K59" s="69">
        <v>6883</v>
      </c>
      <c r="L59" s="83">
        <v>79</v>
      </c>
      <c r="M59" s="82">
        <v>1329</v>
      </c>
      <c r="N59" s="83">
        <v>0</v>
      </c>
      <c r="O59" s="82">
        <v>0</v>
      </c>
    </row>
    <row r="60" spans="1:15">
      <c r="A60" s="9">
        <v>13</v>
      </c>
      <c r="B60" s="20"/>
      <c r="C60" s="2"/>
      <c r="D60" s="15" t="s">
        <v>49</v>
      </c>
      <c r="E60" s="16">
        <v>2393</v>
      </c>
      <c r="F60" s="69">
        <v>3166</v>
      </c>
      <c r="G60" s="16">
        <v>3684</v>
      </c>
      <c r="H60" s="16">
        <v>1796</v>
      </c>
      <c r="I60" s="16">
        <v>1420</v>
      </c>
      <c r="J60" s="41">
        <v>1320</v>
      </c>
      <c r="K60" s="69">
        <v>1285</v>
      </c>
      <c r="L60" s="83">
        <v>174</v>
      </c>
      <c r="M60" s="82">
        <v>196</v>
      </c>
      <c r="N60" s="83">
        <v>0</v>
      </c>
      <c r="O60" s="82">
        <v>0</v>
      </c>
    </row>
    <row r="61" spans="1:15">
      <c r="A61" s="9">
        <v>14</v>
      </c>
      <c r="B61" s="20"/>
      <c r="C61" s="2"/>
      <c r="D61" s="15" t="s">
        <v>50</v>
      </c>
      <c r="E61" s="16">
        <v>27913</v>
      </c>
      <c r="F61" s="69">
        <v>26549</v>
      </c>
      <c r="G61" s="16">
        <v>28323</v>
      </c>
      <c r="H61" s="16">
        <v>915</v>
      </c>
      <c r="I61" s="16">
        <v>23109</v>
      </c>
      <c r="J61" s="41">
        <v>621</v>
      </c>
      <c r="K61" s="69">
        <v>20817</v>
      </c>
      <c r="L61" s="83">
        <v>88</v>
      </c>
      <c r="M61" s="82">
        <v>3659</v>
      </c>
      <c r="N61" s="83">
        <v>231</v>
      </c>
      <c r="O61" s="82">
        <v>0</v>
      </c>
    </row>
    <row r="62" spans="1:15">
      <c r="A62" s="9">
        <v>15</v>
      </c>
      <c r="B62" s="20"/>
      <c r="C62" s="2"/>
      <c r="D62" s="15" t="s">
        <v>51</v>
      </c>
      <c r="E62" s="16">
        <v>209583</v>
      </c>
      <c r="F62" s="69">
        <v>256463</v>
      </c>
      <c r="G62" s="16">
        <v>341310</v>
      </c>
      <c r="H62" s="16">
        <v>221509</v>
      </c>
      <c r="I62" s="16">
        <v>167804</v>
      </c>
      <c r="J62" s="41">
        <v>202246</v>
      </c>
      <c r="K62" s="69">
        <v>196069</v>
      </c>
      <c r="L62" s="83">
        <v>27238</v>
      </c>
      <c r="M62" s="82">
        <v>28917</v>
      </c>
      <c r="N62" s="83">
        <v>24783</v>
      </c>
      <c r="O62" s="82">
        <v>26079</v>
      </c>
    </row>
    <row r="63" spans="1:15">
      <c r="A63" s="9">
        <v>16</v>
      </c>
      <c r="B63" s="20"/>
      <c r="C63" s="2"/>
      <c r="D63" s="15" t="s">
        <v>52</v>
      </c>
      <c r="E63" s="16">
        <v>11219</v>
      </c>
      <c r="F63" s="69">
        <v>16416</v>
      </c>
      <c r="G63" s="16">
        <v>25202</v>
      </c>
      <c r="H63" s="16">
        <v>3392</v>
      </c>
      <c r="I63" s="16">
        <v>9272</v>
      </c>
      <c r="J63" s="41">
        <v>10018</v>
      </c>
      <c r="K63" s="69">
        <v>4559</v>
      </c>
      <c r="L63" s="84" t="s">
        <v>17</v>
      </c>
      <c r="M63" s="84" t="s">
        <v>17</v>
      </c>
      <c r="N63" s="84">
        <v>0</v>
      </c>
      <c r="O63" s="84">
        <v>0</v>
      </c>
    </row>
    <row r="64" spans="1:15">
      <c r="A64" s="9">
        <v>17</v>
      </c>
      <c r="B64" s="20"/>
      <c r="C64" s="2"/>
      <c r="D64" s="15" t="s">
        <v>53</v>
      </c>
      <c r="E64" s="16">
        <v>293728</v>
      </c>
      <c r="F64" s="69">
        <v>308894</v>
      </c>
      <c r="G64" s="16">
        <v>391037</v>
      </c>
      <c r="H64" s="16">
        <v>216886</v>
      </c>
      <c r="I64" s="16">
        <v>233629</v>
      </c>
      <c r="J64" s="41">
        <v>175531</v>
      </c>
      <c r="K64" s="69">
        <v>221679</v>
      </c>
      <c r="L64" s="83">
        <v>26989</v>
      </c>
      <c r="M64" s="82">
        <v>36236</v>
      </c>
      <c r="N64" s="83">
        <v>65807</v>
      </c>
      <c r="O64" s="82">
        <v>2096</v>
      </c>
    </row>
    <row r="65" spans="1:15">
      <c r="A65" s="9">
        <v>18</v>
      </c>
      <c r="B65" s="20"/>
      <c r="C65" s="2"/>
      <c r="D65" s="15" t="s">
        <v>54</v>
      </c>
      <c r="E65" s="24" t="s">
        <v>17</v>
      </c>
      <c r="F65" s="71" t="s">
        <v>17</v>
      </c>
      <c r="G65" s="26" t="s">
        <v>17</v>
      </c>
      <c r="H65" s="24" t="s">
        <v>17</v>
      </c>
      <c r="I65" s="26" t="s">
        <v>17</v>
      </c>
      <c r="J65" s="116" t="s">
        <v>17</v>
      </c>
      <c r="K65" s="70" t="s">
        <v>17</v>
      </c>
      <c r="L65" s="84" t="s">
        <v>17</v>
      </c>
      <c r="M65" s="84" t="s">
        <v>17</v>
      </c>
      <c r="N65" s="84">
        <v>0</v>
      </c>
      <c r="O65" s="84">
        <v>0</v>
      </c>
    </row>
    <row r="66" spans="1:15">
      <c r="A66" s="9">
        <v>19</v>
      </c>
      <c r="B66" s="20"/>
      <c r="C66" s="2"/>
      <c r="D66" s="15" t="s">
        <v>55</v>
      </c>
      <c r="E66" s="16">
        <v>42468</v>
      </c>
      <c r="F66" s="69">
        <v>43710</v>
      </c>
      <c r="G66" s="16">
        <v>36956</v>
      </c>
      <c r="H66" s="16">
        <v>12864</v>
      </c>
      <c r="I66" s="16">
        <v>19580</v>
      </c>
      <c r="J66" s="41">
        <v>8046</v>
      </c>
      <c r="K66" s="69">
        <v>16043</v>
      </c>
      <c r="L66" s="83">
        <v>928</v>
      </c>
      <c r="M66" s="82">
        <v>2653</v>
      </c>
      <c r="N66" s="83">
        <v>0</v>
      </c>
      <c r="O66" s="82">
        <v>0</v>
      </c>
    </row>
    <row r="67" spans="1:15">
      <c r="A67" s="9">
        <v>20</v>
      </c>
      <c r="B67" s="20"/>
      <c r="C67" s="2"/>
      <c r="D67" s="15" t="s">
        <v>56</v>
      </c>
      <c r="E67" s="24">
        <v>38263</v>
      </c>
      <c r="F67" s="71">
        <v>39145</v>
      </c>
      <c r="G67" s="24">
        <v>30621</v>
      </c>
      <c r="H67" s="24" t="s">
        <v>17</v>
      </c>
      <c r="I67" s="24">
        <v>22743</v>
      </c>
      <c r="J67" s="116" t="s">
        <v>17</v>
      </c>
      <c r="K67" s="71">
        <v>27929</v>
      </c>
      <c r="L67" s="84" t="s">
        <v>17</v>
      </c>
      <c r="M67" s="84" t="s">
        <v>17</v>
      </c>
      <c r="N67" s="84">
        <v>0</v>
      </c>
      <c r="O67" s="84"/>
    </row>
    <row r="68" spans="1:15">
      <c r="A68" s="9">
        <v>21</v>
      </c>
      <c r="B68" s="20"/>
      <c r="C68" s="2"/>
      <c r="D68" s="15" t="s">
        <v>57</v>
      </c>
      <c r="E68" s="24">
        <v>46627</v>
      </c>
      <c r="F68" s="71">
        <v>56768</v>
      </c>
      <c r="G68" s="24">
        <v>42661</v>
      </c>
      <c r="H68" s="24">
        <v>1592</v>
      </c>
      <c r="I68" s="24">
        <v>40314</v>
      </c>
      <c r="J68" s="117">
        <v>1893</v>
      </c>
      <c r="K68" s="71">
        <v>31853</v>
      </c>
      <c r="L68" s="83">
        <v>1064</v>
      </c>
      <c r="M68" s="82">
        <v>6380</v>
      </c>
      <c r="N68" s="83">
        <v>0</v>
      </c>
      <c r="O68" s="82">
        <v>0</v>
      </c>
    </row>
    <row r="69" spans="1:15">
      <c r="A69" s="9">
        <v>22</v>
      </c>
      <c r="B69" s="20"/>
      <c r="C69" s="2"/>
      <c r="D69" s="15" t="s">
        <v>58</v>
      </c>
      <c r="E69" s="26">
        <v>90247</v>
      </c>
      <c r="F69" s="69">
        <v>38013</v>
      </c>
      <c r="G69" s="16">
        <v>37631</v>
      </c>
      <c r="H69" s="16">
        <v>21472</v>
      </c>
      <c r="I69" s="16">
        <v>8856</v>
      </c>
      <c r="J69" s="41">
        <v>8690</v>
      </c>
      <c r="K69" s="69">
        <v>4073</v>
      </c>
      <c r="L69" s="84" t="s">
        <v>17</v>
      </c>
      <c r="M69" s="84" t="s">
        <v>17</v>
      </c>
      <c r="N69" s="84">
        <v>0</v>
      </c>
      <c r="O69" s="84">
        <v>0</v>
      </c>
    </row>
    <row r="70" spans="1:15">
      <c r="A70" s="9">
        <v>23</v>
      </c>
      <c r="B70" s="20"/>
      <c r="C70" s="2"/>
      <c r="D70" s="15" t="s">
        <v>59</v>
      </c>
      <c r="E70" s="26" t="s">
        <v>17</v>
      </c>
      <c r="F70" s="71">
        <v>207275</v>
      </c>
      <c r="G70" s="24">
        <v>80600</v>
      </c>
      <c r="H70" s="24">
        <v>15291</v>
      </c>
      <c r="I70" s="24">
        <v>413016</v>
      </c>
      <c r="J70" s="117">
        <v>19535</v>
      </c>
      <c r="K70" s="71">
        <v>477142</v>
      </c>
      <c r="L70" s="83">
        <v>41075</v>
      </c>
      <c r="M70" s="82">
        <v>67530</v>
      </c>
      <c r="N70" s="83">
        <v>0</v>
      </c>
      <c r="O70" s="82">
        <v>0</v>
      </c>
    </row>
    <row r="71" spans="1:15">
      <c r="A71" s="9">
        <v>24</v>
      </c>
      <c r="B71" s="20"/>
      <c r="C71" s="2"/>
      <c r="D71" s="15" t="s">
        <v>60</v>
      </c>
      <c r="E71" s="26" t="s">
        <v>17</v>
      </c>
      <c r="F71" s="69">
        <v>4975</v>
      </c>
      <c r="G71" s="26" t="s">
        <v>17</v>
      </c>
      <c r="H71" s="26" t="s">
        <v>17</v>
      </c>
      <c r="I71" s="26" t="s">
        <v>17</v>
      </c>
      <c r="J71" s="116">
        <v>34529</v>
      </c>
      <c r="K71" s="70">
        <v>144480</v>
      </c>
      <c r="L71" s="84" t="s">
        <v>17</v>
      </c>
      <c r="M71" s="84" t="s">
        <v>17</v>
      </c>
      <c r="N71" s="84">
        <v>0</v>
      </c>
      <c r="O71" s="84">
        <v>0</v>
      </c>
    </row>
    <row r="72" spans="1:15">
      <c r="A72" s="9">
        <v>25</v>
      </c>
      <c r="B72" s="20"/>
      <c r="C72" s="2"/>
      <c r="D72" s="15" t="s">
        <v>215</v>
      </c>
      <c r="E72" s="24"/>
      <c r="F72" s="71"/>
      <c r="G72" s="24"/>
      <c r="H72" s="24"/>
      <c r="I72" s="24"/>
      <c r="J72" s="117"/>
      <c r="K72" s="71"/>
      <c r="L72" s="83"/>
      <c r="M72" s="82"/>
      <c r="N72" s="83">
        <v>229</v>
      </c>
      <c r="O72" s="82">
        <v>173</v>
      </c>
    </row>
    <row r="73" spans="1:15">
      <c r="A73" s="9">
        <v>26</v>
      </c>
      <c r="B73" s="20"/>
      <c r="C73" s="2"/>
      <c r="D73" s="15" t="s">
        <v>216</v>
      </c>
      <c r="E73" s="26"/>
      <c r="F73" s="69"/>
      <c r="G73" s="16"/>
      <c r="H73" s="16"/>
      <c r="I73" s="16"/>
      <c r="J73" s="41"/>
      <c r="K73" s="69"/>
      <c r="L73" s="84"/>
      <c r="M73" s="84"/>
      <c r="N73" s="83">
        <v>418</v>
      </c>
      <c r="O73" s="82">
        <v>28</v>
      </c>
    </row>
    <row r="74" spans="1:15">
      <c r="A74" s="9">
        <v>27</v>
      </c>
      <c r="B74" s="20"/>
      <c r="C74" s="2"/>
      <c r="D74" s="15" t="s">
        <v>217</v>
      </c>
      <c r="E74" s="26"/>
      <c r="F74" s="71"/>
      <c r="G74" s="24"/>
      <c r="H74" s="24"/>
      <c r="I74" s="24"/>
      <c r="J74" s="117"/>
      <c r="K74" s="71"/>
      <c r="L74" s="83"/>
      <c r="M74" s="82"/>
      <c r="N74" s="83">
        <v>0</v>
      </c>
      <c r="O74" s="82">
        <v>0</v>
      </c>
    </row>
    <row r="75" spans="1:15">
      <c r="A75" s="9">
        <v>28</v>
      </c>
      <c r="B75" s="20"/>
      <c r="C75" s="2"/>
      <c r="D75" s="15" t="s">
        <v>218</v>
      </c>
      <c r="E75" s="26"/>
      <c r="F75" s="69"/>
      <c r="G75" s="26"/>
      <c r="H75" s="26"/>
      <c r="I75" s="26"/>
      <c r="J75" s="116"/>
      <c r="K75" s="70"/>
      <c r="L75" s="84"/>
      <c r="M75" s="84"/>
      <c r="N75" s="129">
        <v>0</v>
      </c>
      <c r="O75" s="84">
        <v>0</v>
      </c>
    </row>
    <row r="76" spans="1:15">
      <c r="A76" s="19" t="s">
        <v>61</v>
      </c>
      <c r="B76" s="34"/>
      <c r="C76" s="29" t="s">
        <v>27</v>
      </c>
      <c r="D76" s="33"/>
      <c r="E76" s="30">
        <f t="shared" ref="E76:O76" si="5">SUM(E49:E75)</f>
        <v>1917691</v>
      </c>
      <c r="F76" s="68">
        <f t="shared" si="5"/>
        <v>2953581</v>
      </c>
      <c r="G76" s="30">
        <f t="shared" si="5"/>
        <v>3842208</v>
      </c>
      <c r="H76" s="30">
        <f t="shared" si="5"/>
        <v>794964</v>
      </c>
      <c r="I76" s="30">
        <f t="shared" si="5"/>
        <v>3755976</v>
      </c>
      <c r="J76" s="115">
        <f t="shared" si="5"/>
        <v>717021</v>
      </c>
      <c r="K76" s="68">
        <f t="shared" si="5"/>
        <v>4320438</v>
      </c>
      <c r="L76" s="68">
        <f t="shared" si="5"/>
        <v>155649</v>
      </c>
      <c r="M76" s="30">
        <f t="shared" si="5"/>
        <v>373048</v>
      </c>
      <c r="N76" s="68">
        <f t="shared" si="5"/>
        <v>143323</v>
      </c>
      <c r="O76" s="30">
        <f t="shared" si="5"/>
        <v>35092</v>
      </c>
    </row>
    <row r="77" spans="1:15">
      <c r="A77" s="9">
        <v>1</v>
      </c>
      <c r="B77" s="20"/>
      <c r="C77" s="2" t="s">
        <v>62</v>
      </c>
      <c r="D77" s="15"/>
      <c r="E77" s="16"/>
      <c r="F77" s="69"/>
      <c r="G77" s="16"/>
      <c r="H77" s="16"/>
      <c r="I77" s="16"/>
      <c r="J77" s="41"/>
      <c r="K77" s="69"/>
      <c r="L77" s="83"/>
      <c r="M77" s="82"/>
      <c r="N77" s="83"/>
      <c r="O77" s="82"/>
    </row>
    <row r="78" spans="1:15">
      <c r="A78" s="9">
        <v>2</v>
      </c>
      <c r="B78" s="13"/>
      <c r="C78" s="14"/>
      <c r="D78" s="15" t="s">
        <v>63</v>
      </c>
      <c r="E78" s="16">
        <v>1050</v>
      </c>
      <c r="F78" s="69">
        <v>1388</v>
      </c>
      <c r="G78" s="16">
        <v>1012</v>
      </c>
      <c r="H78" s="16">
        <v>46</v>
      </c>
      <c r="I78" s="16">
        <v>905</v>
      </c>
      <c r="J78" s="41">
        <v>97</v>
      </c>
      <c r="K78" s="69">
        <v>949</v>
      </c>
      <c r="L78" s="83">
        <v>10</v>
      </c>
      <c r="M78" s="82">
        <v>95</v>
      </c>
      <c r="N78" s="83">
        <v>8</v>
      </c>
      <c r="O78" s="82">
        <v>12</v>
      </c>
    </row>
    <row r="79" spans="1:15">
      <c r="A79" s="9">
        <v>3</v>
      </c>
      <c r="B79" s="13"/>
      <c r="C79" s="14"/>
      <c r="D79" s="15" t="s">
        <v>64</v>
      </c>
      <c r="E79" s="24">
        <v>18395</v>
      </c>
      <c r="F79" s="69">
        <v>18561</v>
      </c>
      <c r="G79" s="16">
        <v>25953</v>
      </c>
      <c r="H79" s="26" t="s">
        <v>17</v>
      </c>
      <c r="I79" s="16">
        <v>24760</v>
      </c>
      <c r="J79" s="116">
        <v>278</v>
      </c>
      <c r="K79" s="69">
        <v>19124</v>
      </c>
      <c r="L79" s="83">
        <v>24</v>
      </c>
      <c r="M79" s="82">
        <v>1899</v>
      </c>
      <c r="N79" s="83">
        <v>0</v>
      </c>
      <c r="O79" s="82">
        <v>0</v>
      </c>
    </row>
    <row r="80" spans="1:15">
      <c r="A80" s="9">
        <v>4</v>
      </c>
      <c r="B80" s="13"/>
      <c r="C80" s="14"/>
      <c r="D80" s="15" t="s">
        <v>65</v>
      </c>
      <c r="E80" s="16">
        <v>473010</v>
      </c>
      <c r="F80" s="69">
        <v>491661</v>
      </c>
      <c r="G80" s="16">
        <v>542724</v>
      </c>
      <c r="H80" s="16">
        <v>100777</v>
      </c>
      <c r="I80" s="16">
        <v>319523</v>
      </c>
      <c r="J80" s="41">
        <v>160719</v>
      </c>
      <c r="K80" s="69">
        <v>780691</v>
      </c>
      <c r="L80" s="83">
        <v>34763</v>
      </c>
      <c r="M80" s="82">
        <v>114597</v>
      </c>
      <c r="N80" s="83">
        <v>21850</v>
      </c>
      <c r="O80" s="82">
        <v>667</v>
      </c>
    </row>
    <row r="81" spans="1:15">
      <c r="A81" s="9">
        <v>5</v>
      </c>
      <c r="B81" s="13"/>
      <c r="C81" s="14"/>
      <c r="D81" s="15" t="s">
        <v>66</v>
      </c>
      <c r="E81" s="16">
        <v>12081</v>
      </c>
      <c r="F81" s="69">
        <v>12989</v>
      </c>
      <c r="G81" s="16">
        <v>11866</v>
      </c>
      <c r="H81" s="16">
        <v>7441</v>
      </c>
      <c r="I81" s="16">
        <v>1922</v>
      </c>
      <c r="J81" s="41">
        <v>6049</v>
      </c>
      <c r="K81" s="69">
        <v>1505</v>
      </c>
      <c r="L81" s="83">
        <v>1101</v>
      </c>
      <c r="M81" s="82">
        <v>242</v>
      </c>
      <c r="N81" s="83">
        <v>876</v>
      </c>
      <c r="O81" s="82">
        <v>8</v>
      </c>
    </row>
    <row r="82" spans="1:15">
      <c r="A82" s="9">
        <v>6</v>
      </c>
      <c r="B82" s="13"/>
      <c r="C82" s="14"/>
      <c r="D82" s="15" t="s">
        <v>67</v>
      </c>
      <c r="E82" s="16">
        <v>49951</v>
      </c>
      <c r="F82" s="69">
        <v>123133</v>
      </c>
      <c r="G82" s="16">
        <v>209267</v>
      </c>
      <c r="H82" s="16">
        <v>196071</v>
      </c>
      <c r="I82" s="16">
        <v>51565</v>
      </c>
      <c r="J82" s="41">
        <v>202247</v>
      </c>
      <c r="K82" s="69">
        <v>58914</v>
      </c>
      <c r="L82" s="83">
        <v>29803</v>
      </c>
      <c r="M82" s="82">
        <v>5731</v>
      </c>
      <c r="N82" s="83">
        <v>146180</v>
      </c>
      <c r="O82" s="82">
        <v>565</v>
      </c>
    </row>
    <row r="83" spans="1:15">
      <c r="A83" s="9"/>
      <c r="B83" s="13"/>
      <c r="C83" s="14"/>
      <c r="D83" s="15" t="s">
        <v>68</v>
      </c>
      <c r="E83" s="24">
        <v>55862</v>
      </c>
      <c r="F83" s="69">
        <v>46851</v>
      </c>
      <c r="G83" s="26" t="s">
        <v>17</v>
      </c>
      <c r="H83" s="26" t="s">
        <v>17</v>
      </c>
      <c r="I83" s="26" t="s">
        <v>17</v>
      </c>
      <c r="J83" s="116" t="s">
        <v>17</v>
      </c>
      <c r="K83" s="70" t="s">
        <v>17</v>
      </c>
      <c r="L83" s="84" t="s">
        <v>17</v>
      </c>
      <c r="M83" s="84" t="s">
        <v>17</v>
      </c>
      <c r="N83" s="84">
        <v>0</v>
      </c>
      <c r="O83" s="84">
        <v>0</v>
      </c>
    </row>
    <row r="84" spans="1:15">
      <c r="A84" s="19" t="s">
        <v>69</v>
      </c>
      <c r="B84" s="28"/>
      <c r="C84" s="29" t="s">
        <v>27</v>
      </c>
      <c r="D84" s="33"/>
      <c r="E84" s="30">
        <f t="shared" ref="E84:G84" si="6">SUM(E78:E83)</f>
        <v>610349</v>
      </c>
      <c r="F84" s="68">
        <f t="shared" si="6"/>
        <v>694583</v>
      </c>
      <c r="G84" s="30">
        <f t="shared" si="6"/>
        <v>790822</v>
      </c>
      <c r="H84" s="30">
        <f t="shared" ref="H84:I84" si="7">SUM(H78:H83)</f>
        <v>304335</v>
      </c>
      <c r="I84" s="30">
        <f t="shared" si="7"/>
        <v>398675</v>
      </c>
      <c r="J84" s="115">
        <f t="shared" ref="J84:M84" si="8">SUM(J78:J83)</f>
        <v>369390</v>
      </c>
      <c r="K84" s="68">
        <f t="shared" si="8"/>
        <v>861183</v>
      </c>
      <c r="L84" s="68">
        <f t="shared" si="8"/>
        <v>65701</v>
      </c>
      <c r="M84" s="30">
        <f t="shared" si="8"/>
        <v>122564</v>
      </c>
      <c r="N84" s="68">
        <f t="shared" ref="N84:O84" si="9">SUM(N78:N83)</f>
        <v>168914</v>
      </c>
      <c r="O84" s="30">
        <f t="shared" si="9"/>
        <v>1252</v>
      </c>
    </row>
    <row r="85" spans="1:15">
      <c r="A85" s="9">
        <v>1</v>
      </c>
      <c r="B85" s="20"/>
      <c r="C85" s="2" t="s">
        <v>70</v>
      </c>
      <c r="D85" s="31"/>
      <c r="E85" s="16"/>
      <c r="F85" s="69"/>
      <c r="G85" s="16"/>
      <c r="H85" s="16"/>
      <c r="I85" s="16"/>
      <c r="J85" s="41"/>
      <c r="K85" s="69"/>
      <c r="L85" s="83"/>
      <c r="M85" s="82"/>
      <c r="N85" s="83"/>
      <c r="O85" s="82"/>
    </row>
    <row r="86" spans="1:15">
      <c r="A86" s="9">
        <v>2</v>
      </c>
      <c r="B86" s="13"/>
      <c r="C86" s="14"/>
      <c r="D86" s="15" t="s">
        <v>71</v>
      </c>
      <c r="E86" s="16">
        <v>43683</v>
      </c>
      <c r="F86" s="69">
        <v>42430</v>
      </c>
      <c r="G86" s="16">
        <v>53322</v>
      </c>
      <c r="H86" s="16">
        <f>4288+980</f>
        <v>5268</v>
      </c>
      <c r="I86" s="16">
        <f>41103+1002</f>
        <v>42105</v>
      </c>
      <c r="J86" s="41">
        <f>4042+1040</f>
        <v>5082</v>
      </c>
      <c r="K86" s="69">
        <f>30966+707</f>
        <v>31673</v>
      </c>
      <c r="L86" s="83">
        <v>1749</v>
      </c>
      <c r="M86" s="82">
        <v>4062</v>
      </c>
      <c r="N86" s="83">
        <v>868</v>
      </c>
      <c r="O86" s="82">
        <v>42</v>
      </c>
    </row>
    <row r="87" spans="1:15">
      <c r="A87" s="9">
        <v>3</v>
      </c>
      <c r="B87" s="13"/>
      <c r="C87" s="14"/>
      <c r="D87" s="15" t="s">
        <v>72</v>
      </c>
      <c r="E87" s="16">
        <v>57552</v>
      </c>
      <c r="F87" s="69">
        <v>63226</v>
      </c>
      <c r="G87" s="16">
        <v>72472</v>
      </c>
      <c r="H87" s="16">
        <f>3345+321</f>
        <v>3666</v>
      </c>
      <c r="I87" s="16">
        <f>62865+1584</f>
        <v>64449</v>
      </c>
      <c r="J87" s="41">
        <f>2801+257</f>
        <v>3058</v>
      </c>
      <c r="K87" s="69">
        <f>56292+1167</f>
        <v>57459</v>
      </c>
      <c r="L87" s="83">
        <v>924</v>
      </c>
      <c r="M87" s="82">
        <v>7346</v>
      </c>
      <c r="N87" s="83">
        <v>122</v>
      </c>
      <c r="O87" s="82">
        <v>13</v>
      </c>
    </row>
    <row r="88" spans="1:15">
      <c r="A88" s="9">
        <v>4</v>
      </c>
      <c r="B88" s="13"/>
      <c r="C88" s="14"/>
      <c r="D88" s="15" t="s">
        <v>73</v>
      </c>
      <c r="E88" s="24" t="s">
        <v>17</v>
      </c>
      <c r="F88" s="70" t="s">
        <v>17</v>
      </c>
      <c r="G88" s="26">
        <v>15000</v>
      </c>
      <c r="H88" s="26" t="s">
        <v>17</v>
      </c>
      <c r="I88" s="26" t="s">
        <v>17</v>
      </c>
      <c r="J88" s="116" t="s">
        <v>17</v>
      </c>
      <c r="K88" s="70" t="s">
        <v>17</v>
      </c>
      <c r="L88" s="83">
        <v>0</v>
      </c>
      <c r="M88" s="82">
        <v>0</v>
      </c>
      <c r="N88" s="83">
        <v>0</v>
      </c>
      <c r="O88" s="82">
        <v>0</v>
      </c>
    </row>
    <row r="89" spans="1:15">
      <c r="A89" s="9">
        <v>5</v>
      </c>
      <c r="B89" s="13"/>
      <c r="C89" s="14"/>
      <c r="D89" s="15" t="s">
        <v>74</v>
      </c>
      <c r="E89" s="16">
        <v>264708</v>
      </c>
      <c r="F89" s="69">
        <v>265545</v>
      </c>
      <c r="G89" s="16">
        <v>292734</v>
      </c>
      <c r="H89" s="26" t="s">
        <v>17</v>
      </c>
      <c r="I89" s="16">
        <f>123426+10422</f>
        <v>133848</v>
      </c>
      <c r="J89" s="116" t="s">
        <v>17</v>
      </c>
      <c r="K89" s="69">
        <f>386681+17802</f>
        <v>404483</v>
      </c>
      <c r="L89" s="83">
        <v>89469</v>
      </c>
      <c r="M89" s="82">
        <v>9941</v>
      </c>
      <c r="N89" s="83">
        <v>162</v>
      </c>
      <c r="O89" s="82">
        <v>0</v>
      </c>
    </row>
    <row r="90" spans="1:15">
      <c r="A90" s="9">
        <v>6</v>
      </c>
      <c r="B90" s="13"/>
      <c r="C90" s="14"/>
      <c r="D90" s="15" t="s">
        <v>75</v>
      </c>
      <c r="E90" s="24" t="s">
        <v>17</v>
      </c>
      <c r="F90" s="71" t="s">
        <v>17</v>
      </c>
      <c r="G90" s="24">
        <v>7550</v>
      </c>
      <c r="H90" s="26" t="s">
        <v>17</v>
      </c>
      <c r="I90" s="26" t="s">
        <v>17</v>
      </c>
      <c r="J90" s="116" t="s">
        <v>17</v>
      </c>
      <c r="K90" s="70" t="s">
        <v>17</v>
      </c>
      <c r="L90" s="84" t="s">
        <v>17</v>
      </c>
      <c r="M90" s="84" t="s">
        <v>17</v>
      </c>
      <c r="N90" s="84">
        <v>0</v>
      </c>
      <c r="O90" s="84">
        <v>0</v>
      </c>
    </row>
    <row r="91" spans="1:15">
      <c r="A91" s="9">
        <v>7</v>
      </c>
      <c r="B91" s="13"/>
      <c r="C91" s="14"/>
      <c r="D91" s="15" t="s">
        <v>76</v>
      </c>
      <c r="E91" s="16">
        <v>6108</v>
      </c>
      <c r="F91" s="69">
        <v>7693</v>
      </c>
      <c r="G91" s="16">
        <v>5098</v>
      </c>
      <c r="H91" s="16">
        <f>97+25</f>
        <v>122</v>
      </c>
      <c r="I91" s="16">
        <f>3446+331</f>
        <v>3777</v>
      </c>
      <c r="J91" s="41">
        <v>80</v>
      </c>
      <c r="K91" s="69">
        <f>1355+157</f>
        <v>1512</v>
      </c>
      <c r="L91" s="84" t="s">
        <v>17</v>
      </c>
      <c r="M91" s="84" t="s">
        <v>17</v>
      </c>
      <c r="N91" s="84">
        <v>0</v>
      </c>
      <c r="O91" s="84">
        <v>0</v>
      </c>
    </row>
    <row r="92" spans="1:15">
      <c r="A92" s="9"/>
      <c r="B92" s="13"/>
      <c r="C92" s="14"/>
      <c r="D92" s="15" t="s">
        <v>77</v>
      </c>
      <c r="E92" s="24" t="s">
        <v>17</v>
      </c>
      <c r="F92" s="71" t="s">
        <v>17</v>
      </c>
      <c r="G92" s="16">
        <v>50000</v>
      </c>
      <c r="H92" s="26" t="s">
        <v>17</v>
      </c>
      <c r="I92" s="26" t="s">
        <v>17</v>
      </c>
      <c r="J92" s="116" t="s">
        <v>17</v>
      </c>
      <c r="K92" s="70" t="s">
        <v>17</v>
      </c>
      <c r="L92" s="84" t="s">
        <v>17</v>
      </c>
      <c r="M92" s="84" t="s">
        <v>17</v>
      </c>
      <c r="N92" s="84">
        <v>0</v>
      </c>
      <c r="O92" s="84">
        <v>0</v>
      </c>
    </row>
    <row r="93" spans="1:15">
      <c r="A93" s="36" t="s">
        <v>78</v>
      </c>
      <c r="B93" s="28"/>
      <c r="C93" s="29" t="s">
        <v>27</v>
      </c>
      <c r="D93" s="33"/>
      <c r="E93" s="30">
        <f t="shared" ref="E93:G93" si="10">SUM(E86:E92)</f>
        <v>372051</v>
      </c>
      <c r="F93" s="68">
        <f t="shared" si="10"/>
        <v>378894</v>
      </c>
      <c r="G93" s="30">
        <f t="shared" si="10"/>
        <v>496176</v>
      </c>
      <c r="H93" s="30">
        <f t="shared" ref="H93:I93" si="11">SUM(H86:H92)</f>
        <v>9056</v>
      </c>
      <c r="I93" s="30">
        <f t="shared" si="11"/>
        <v>244179</v>
      </c>
      <c r="J93" s="115">
        <f t="shared" ref="J93:M93" si="12">SUM(J86:J92)</f>
        <v>8220</v>
      </c>
      <c r="K93" s="68">
        <f t="shared" si="12"/>
        <v>495127</v>
      </c>
      <c r="L93" s="68">
        <f t="shared" si="12"/>
        <v>92142</v>
      </c>
      <c r="M93" s="30">
        <f t="shared" si="12"/>
        <v>21349</v>
      </c>
      <c r="N93" s="68">
        <f t="shared" ref="N93:O93" si="13">SUM(N86:N92)</f>
        <v>1152</v>
      </c>
      <c r="O93" s="30">
        <f t="shared" si="13"/>
        <v>55</v>
      </c>
    </row>
    <row r="94" spans="1:15">
      <c r="A94" s="9">
        <v>1</v>
      </c>
      <c r="B94" s="37"/>
      <c r="C94" s="38" t="s">
        <v>79</v>
      </c>
      <c r="D94" s="39"/>
      <c r="E94" s="40"/>
      <c r="F94" s="72"/>
      <c r="G94" s="40"/>
      <c r="H94" s="40"/>
      <c r="I94" s="40"/>
      <c r="J94" s="118"/>
      <c r="K94" s="72"/>
      <c r="L94" s="83"/>
      <c r="M94" s="82"/>
      <c r="N94" s="83"/>
      <c r="O94" s="82"/>
    </row>
    <row r="95" spans="1:15">
      <c r="A95" s="9">
        <v>2</v>
      </c>
      <c r="B95" s="13"/>
      <c r="C95" s="14"/>
      <c r="D95" s="15" t="s">
        <v>80</v>
      </c>
      <c r="E95" s="16">
        <v>4949</v>
      </c>
      <c r="F95" s="69">
        <v>8411</v>
      </c>
      <c r="G95" s="16">
        <v>5671</v>
      </c>
      <c r="H95" s="16">
        <f>45+131</f>
        <v>176</v>
      </c>
      <c r="I95" s="16">
        <f>1573+4481</f>
        <v>6054</v>
      </c>
      <c r="J95" s="41">
        <v>430</v>
      </c>
      <c r="K95" s="69">
        <v>3912</v>
      </c>
      <c r="L95" s="83">
        <v>85</v>
      </c>
      <c r="M95" s="82">
        <v>649</v>
      </c>
      <c r="N95" s="83">
        <v>249</v>
      </c>
      <c r="O95" s="82">
        <v>44</v>
      </c>
    </row>
    <row r="96" spans="1:15">
      <c r="A96" s="9">
        <v>3</v>
      </c>
      <c r="B96" s="13"/>
      <c r="C96" s="14"/>
      <c r="D96" s="15" t="s">
        <v>81</v>
      </c>
      <c r="E96" s="16">
        <v>54971</v>
      </c>
      <c r="F96" s="69">
        <v>109689</v>
      </c>
      <c r="G96" s="16">
        <v>177872</v>
      </c>
      <c r="H96" s="16">
        <f>14622+30911</f>
        <v>45533</v>
      </c>
      <c r="I96" s="16">
        <f>64910+180125</f>
        <v>245035</v>
      </c>
      <c r="J96" s="41">
        <v>36566</v>
      </c>
      <c r="K96" s="69">
        <v>191168</v>
      </c>
      <c r="L96" s="83">
        <v>13195</v>
      </c>
      <c r="M96" s="82">
        <v>31644</v>
      </c>
      <c r="N96" s="83">
        <v>6150</v>
      </c>
      <c r="O96" s="82">
        <v>2545</v>
      </c>
    </row>
    <row r="97" spans="1:15">
      <c r="A97" s="9">
        <v>4</v>
      </c>
      <c r="B97" s="13"/>
      <c r="C97" s="14"/>
      <c r="D97" s="15" t="s">
        <v>82</v>
      </c>
      <c r="E97" s="16">
        <v>58976</v>
      </c>
      <c r="F97" s="69">
        <v>122195</v>
      </c>
      <c r="G97" s="16">
        <v>129726</v>
      </c>
      <c r="H97" s="16">
        <f>18413+46998</f>
        <v>65411</v>
      </c>
      <c r="I97" s="16">
        <f>57730+189673</f>
        <v>247403</v>
      </c>
      <c r="J97" s="41">
        <v>73407</v>
      </c>
      <c r="K97" s="69">
        <v>291688</v>
      </c>
      <c r="L97" s="83">
        <v>49275</v>
      </c>
      <c r="M97" s="82">
        <v>48816</v>
      </c>
      <c r="N97" s="83">
        <v>35779</v>
      </c>
      <c r="O97" s="82">
        <v>1963</v>
      </c>
    </row>
    <row r="98" spans="1:15">
      <c r="A98" s="9">
        <v>5</v>
      </c>
      <c r="B98" s="13"/>
      <c r="C98" s="14"/>
      <c r="D98" s="15" t="s">
        <v>83</v>
      </c>
      <c r="E98" s="16">
        <v>22765</v>
      </c>
      <c r="F98" s="69">
        <v>47019</v>
      </c>
      <c r="G98" s="16">
        <v>32921</v>
      </c>
      <c r="H98" s="16">
        <f>4445+6303</f>
        <v>10748</v>
      </c>
      <c r="I98" s="16">
        <f>14877+43920</f>
        <v>58797</v>
      </c>
      <c r="J98" s="41">
        <v>5823</v>
      </c>
      <c r="K98" s="69">
        <v>40102</v>
      </c>
      <c r="L98" s="83">
        <v>2922</v>
      </c>
      <c r="M98" s="82">
        <v>4441</v>
      </c>
      <c r="N98" s="83">
        <v>2087</v>
      </c>
      <c r="O98" s="82">
        <v>405</v>
      </c>
    </row>
    <row r="99" spans="1:15">
      <c r="A99" s="9">
        <v>6</v>
      </c>
      <c r="B99" s="13"/>
      <c r="C99" s="14"/>
      <c r="D99" s="15" t="s">
        <v>84</v>
      </c>
      <c r="E99" s="16">
        <v>6602</v>
      </c>
      <c r="F99" s="69">
        <v>12198</v>
      </c>
      <c r="G99" s="16">
        <v>12558</v>
      </c>
      <c r="H99" s="16">
        <f>6+329</f>
        <v>335</v>
      </c>
      <c r="I99" s="16">
        <f>6605+17002</f>
        <v>23607</v>
      </c>
      <c r="J99" s="116" t="s">
        <v>17</v>
      </c>
      <c r="K99" s="69">
        <v>14043</v>
      </c>
      <c r="L99" s="83">
        <v>11</v>
      </c>
      <c r="M99" s="82">
        <v>1858</v>
      </c>
      <c r="N99" s="83">
        <v>46</v>
      </c>
      <c r="O99" s="82">
        <v>87</v>
      </c>
    </row>
    <row r="100" spans="1:15">
      <c r="A100" s="9">
        <v>7</v>
      </c>
      <c r="B100" s="13"/>
      <c r="C100" s="14"/>
      <c r="D100" s="15" t="s">
        <v>85</v>
      </c>
      <c r="E100" s="16">
        <v>3119</v>
      </c>
      <c r="F100" s="69">
        <v>7004</v>
      </c>
      <c r="G100" s="16">
        <v>7044</v>
      </c>
      <c r="H100" s="26" t="s">
        <v>17</v>
      </c>
      <c r="I100" s="16">
        <f>3113+9069</f>
        <v>12182</v>
      </c>
      <c r="J100" s="116" t="s">
        <v>17</v>
      </c>
      <c r="K100" s="69">
        <v>9269</v>
      </c>
      <c r="L100" s="83">
        <v>0</v>
      </c>
      <c r="M100" s="82">
        <v>980</v>
      </c>
      <c r="N100" s="83">
        <v>24</v>
      </c>
      <c r="O100" s="82">
        <v>112</v>
      </c>
    </row>
    <row r="101" spans="1:15">
      <c r="A101" s="9">
        <v>8</v>
      </c>
      <c r="B101" s="13"/>
      <c r="C101" s="14"/>
      <c r="D101" s="15" t="s">
        <v>86</v>
      </c>
      <c r="E101" s="16">
        <v>14425</v>
      </c>
      <c r="F101" s="69">
        <v>34992</v>
      </c>
      <c r="G101" s="16">
        <v>17316</v>
      </c>
      <c r="H101" s="16">
        <f>692+2589</f>
        <v>3281</v>
      </c>
      <c r="I101" s="16">
        <f>1400+4147</f>
        <v>5547</v>
      </c>
      <c r="J101" s="41">
        <v>6708</v>
      </c>
      <c r="K101" s="69">
        <v>11855</v>
      </c>
      <c r="L101" s="83">
        <v>2484</v>
      </c>
      <c r="M101" s="82">
        <v>5004</v>
      </c>
      <c r="N101" s="83">
        <v>258</v>
      </c>
      <c r="O101" s="82">
        <v>9</v>
      </c>
    </row>
    <row r="102" spans="1:15">
      <c r="A102" s="9">
        <v>9</v>
      </c>
      <c r="B102" s="13"/>
      <c r="C102" s="14"/>
      <c r="D102" s="15" t="s">
        <v>87</v>
      </c>
      <c r="E102" s="16">
        <v>23674</v>
      </c>
      <c r="F102" s="69">
        <v>37413</v>
      </c>
      <c r="G102" s="16">
        <v>21589</v>
      </c>
      <c r="H102" s="26" t="s">
        <v>17</v>
      </c>
      <c r="I102" s="16">
        <f>10826+34563</f>
        <v>45389</v>
      </c>
      <c r="J102" s="116">
        <v>3604</v>
      </c>
      <c r="K102" s="69">
        <v>35429</v>
      </c>
      <c r="L102" s="83">
        <v>398</v>
      </c>
      <c r="M102" s="82">
        <v>6201</v>
      </c>
      <c r="N102" s="83">
        <v>238</v>
      </c>
      <c r="O102" s="82">
        <v>269</v>
      </c>
    </row>
    <row r="103" spans="1:15">
      <c r="A103" s="9">
        <v>10</v>
      </c>
      <c r="B103" s="13"/>
      <c r="C103" s="14"/>
      <c r="D103" s="15" t="s">
        <v>88</v>
      </c>
      <c r="E103" s="16">
        <v>206</v>
      </c>
      <c r="F103" s="69">
        <v>417</v>
      </c>
      <c r="G103" s="16">
        <v>465</v>
      </c>
      <c r="H103" s="16">
        <f>10+10</f>
        <v>20</v>
      </c>
      <c r="I103" s="16">
        <f>51+149</f>
        <v>200</v>
      </c>
      <c r="J103" s="41">
        <v>35</v>
      </c>
      <c r="K103" s="69">
        <v>352</v>
      </c>
      <c r="L103" s="83">
        <v>3454</v>
      </c>
      <c r="M103" s="82">
        <v>345</v>
      </c>
      <c r="N103" s="83">
        <v>14056</v>
      </c>
      <c r="O103" s="82">
        <v>0</v>
      </c>
    </row>
    <row r="104" spans="1:15">
      <c r="A104" s="9">
        <v>11</v>
      </c>
      <c r="B104" s="13"/>
      <c r="C104" s="14"/>
      <c r="D104" s="15" t="s">
        <v>89</v>
      </c>
      <c r="E104" s="16">
        <v>1240</v>
      </c>
      <c r="F104" s="69">
        <v>2439</v>
      </c>
      <c r="G104" s="16">
        <v>6930</v>
      </c>
      <c r="H104" s="16">
        <f>714+1488</f>
        <v>2202</v>
      </c>
      <c r="I104" s="16">
        <f>1285+2937</f>
        <v>4222</v>
      </c>
      <c r="J104" s="41">
        <v>4483</v>
      </c>
      <c r="K104" s="69">
        <v>5852</v>
      </c>
      <c r="L104" s="83">
        <v>827</v>
      </c>
      <c r="M104" s="82">
        <v>928</v>
      </c>
      <c r="N104" s="83">
        <v>0</v>
      </c>
      <c r="O104" s="82">
        <v>91</v>
      </c>
    </row>
    <row r="105" spans="1:15">
      <c r="A105" s="9">
        <v>12</v>
      </c>
      <c r="B105" s="13"/>
      <c r="C105" s="14"/>
      <c r="D105" s="15" t="s">
        <v>90</v>
      </c>
      <c r="E105" s="16">
        <v>34</v>
      </c>
      <c r="F105" s="70" t="s">
        <v>17</v>
      </c>
      <c r="G105" s="26" t="s">
        <v>17</v>
      </c>
      <c r="H105" s="26" t="s">
        <v>17</v>
      </c>
      <c r="I105" s="26" t="s">
        <v>17</v>
      </c>
      <c r="J105" s="116" t="s">
        <v>17</v>
      </c>
      <c r="K105" s="70" t="s">
        <v>17</v>
      </c>
      <c r="L105" s="84" t="s">
        <v>17</v>
      </c>
      <c r="M105" s="84" t="s">
        <v>17</v>
      </c>
      <c r="N105" s="84">
        <v>0</v>
      </c>
      <c r="O105" s="84">
        <v>0</v>
      </c>
    </row>
    <row r="106" spans="1:15">
      <c r="A106" s="9">
        <v>13</v>
      </c>
      <c r="B106" s="13"/>
      <c r="C106" s="14"/>
      <c r="D106" s="15" t="s">
        <v>91</v>
      </c>
      <c r="E106" s="16">
        <v>68758</v>
      </c>
      <c r="F106" s="69">
        <v>63412</v>
      </c>
      <c r="G106" s="16">
        <v>140026</v>
      </c>
      <c r="H106" s="16">
        <f>52699+105851</f>
        <v>158550</v>
      </c>
      <c r="I106" s="16">
        <f>34199+81260</f>
        <v>115459</v>
      </c>
      <c r="J106" s="41">
        <v>133851</v>
      </c>
      <c r="K106" s="69">
        <v>117250</v>
      </c>
      <c r="L106" s="83">
        <v>83915</v>
      </c>
      <c r="M106" s="82">
        <v>20302</v>
      </c>
      <c r="N106" s="83">
        <v>61359</v>
      </c>
      <c r="O106" s="82">
        <v>1932</v>
      </c>
    </row>
    <row r="107" spans="1:15">
      <c r="A107" s="9">
        <v>14</v>
      </c>
      <c r="B107" s="13"/>
      <c r="C107" s="14"/>
      <c r="D107" s="15" t="s">
        <v>92</v>
      </c>
      <c r="E107" s="32">
        <v>0</v>
      </c>
      <c r="F107" s="105">
        <v>0</v>
      </c>
      <c r="G107" s="32">
        <v>0</v>
      </c>
      <c r="H107" s="32">
        <v>0</v>
      </c>
      <c r="I107" s="32">
        <v>0</v>
      </c>
      <c r="J107" s="121" t="s">
        <v>17</v>
      </c>
      <c r="K107" s="73" t="s">
        <v>17</v>
      </c>
      <c r="L107" s="84" t="s">
        <v>17</v>
      </c>
      <c r="M107" s="84" t="s">
        <v>17</v>
      </c>
      <c r="N107" s="84">
        <v>0</v>
      </c>
      <c r="O107" s="84">
        <v>0</v>
      </c>
    </row>
    <row r="108" spans="1:15">
      <c r="A108" s="9">
        <v>15</v>
      </c>
      <c r="B108" s="13"/>
      <c r="C108" s="14"/>
      <c r="D108" s="15" t="s">
        <v>93</v>
      </c>
      <c r="E108" s="16">
        <v>34</v>
      </c>
      <c r="F108" s="69">
        <v>6</v>
      </c>
      <c r="G108" s="32">
        <v>0</v>
      </c>
      <c r="H108" s="32">
        <v>0</v>
      </c>
      <c r="I108" s="32">
        <v>0</v>
      </c>
      <c r="J108" s="121" t="s">
        <v>17</v>
      </c>
      <c r="K108" s="73" t="s">
        <v>17</v>
      </c>
      <c r="L108" s="84" t="s">
        <v>17</v>
      </c>
      <c r="M108" s="84" t="s">
        <v>17</v>
      </c>
      <c r="N108" s="84">
        <v>0</v>
      </c>
      <c r="O108" s="84">
        <v>0</v>
      </c>
    </row>
    <row r="109" spans="1:15">
      <c r="A109" s="9">
        <v>16</v>
      </c>
      <c r="B109" s="13"/>
      <c r="C109" s="14"/>
      <c r="D109" s="15" t="s">
        <v>94</v>
      </c>
      <c r="E109" s="32">
        <v>0</v>
      </c>
      <c r="F109" s="105">
        <v>0</v>
      </c>
      <c r="G109" s="32">
        <v>0</v>
      </c>
      <c r="H109" s="32">
        <v>0</v>
      </c>
      <c r="I109" s="32">
        <v>0</v>
      </c>
      <c r="J109" s="121" t="s">
        <v>17</v>
      </c>
      <c r="K109" s="73" t="s">
        <v>17</v>
      </c>
      <c r="L109" s="84" t="s">
        <v>17</v>
      </c>
      <c r="M109" s="84" t="s">
        <v>17</v>
      </c>
      <c r="N109" s="84">
        <v>0</v>
      </c>
      <c r="O109" s="84">
        <v>0</v>
      </c>
    </row>
    <row r="110" spans="1:15">
      <c r="A110" s="9">
        <v>17</v>
      </c>
      <c r="B110" s="13"/>
      <c r="C110" s="14"/>
      <c r="D110" s="15" t="s">
        <v>95</v>
      </c>
      <c r="E110" s="16">
        <v>5088</v>
      </c>
      <c r="F110" s="69">
        <v>8017</v>
      </c>
      <c r="G110" s="16"/>
      <c r="H110" s="16">
        <f>792+1647</f>
        <v>2439</v>
      </c>
      <c r="I110" s="16">
        <f>1972+3741</f>
        <v>5713</v>
      </c>
      <c r="J110" s="41">
        <v>1791</v>
      </c>
      <c r="K110" s="69">
        <v>3382</v>
      </c>
      <c r="L110" s="83">
        <v>390</v>
      </c>
      <c r="M110" s="82">
        <v>570</v>
      </c>
      <c r="N110" s="83">
        <v>0</v>
      </c>
      <c r="O110" s="82">
        <v>0</v>
      </c>
    </row>
    <row r="111" spans="1:15">
      <c r="A111" s="9">
        <v>18</v>
      </c>
      <c r="B111" s="13"/>
      <c r="C111" s="14"/>
      <c r="D111" s="15" t="s">
        <v>96</v>
      </c>
      <c r="E111" s="26" t="s">
        <v>17</v>
      </c>
      <c r="F111" s="70" t="s">
        <v>17</v>
      </c>
      <c r="G111" s="16">
        <v>7114</v>
      </c>
      <c r="H111" s="32">
        <v>0</v>
      </c>
      <c r="I111" s="32">
        <v>0</v>
      </c>
      <c r="J111" s="121" t="s">
        <v>17</v>
      </c>
      <c r="K111" s="73" t="s">
        <v>17</v>
      </c>
      <c r="L111" s="84" t="s">
        <v>17</v>
      </c>
      <c r="M111" s="84" t="s">
        <v>17</v>
      </c>
      <c r="N111" s="84">
        <v>0</v>
      </c>
      <c r="O111" s="84">
        <v>0</v>
      </c>
    </row>
    <row r="112" spans="1:15">
      <c r="A112" s="9">
        <v>19</v>
      </c>
      <c r="B112" s="13"/>
      <c r="C112" s="14"/>
      <c r="D112" s="15" t="s">
        <v>97</v>
      </c>
      <c r="E112" s="26" t="s">
        <v>17</v>
      </c>
      <c r="F112" s="70" t="s">
        <v>17</v>
      </c>
      <c r="G112" s="26" t="s">
        <v>17</v>
      </c>
      <c r="H112" s="16">
        <f>3771+7240</f>
        <v>11011</v>
      </c>
      <c r="I112" s="16">
        <f>7206+22263</f>
        <v>29469</v>
      </c>
      <c r="J112" s="116" t="s">
        <v>17</v>
      </c>
      <c r="K112" s="70" t="s">
        <v>17</v>
      </c>
      <c r="L112" s="84" t="s">
        <v>17</v>
      </c>
      <c r="M112" s="84" t="s">
        <v>17</v>
      </c>
      <c r="N112" s="84">
        <v>0</v>
      </c>
      <c r="O112" s="84">
        <v>0</v>
      </c>
    </row>
    <row r="113" spans="1:15">
      <c r="A113" s="9">
        <v>20</v>
      </c>
      <c r="B113" s="13"/>
      <c r="C113" s="14"/>
      <c r="D113" s="15" t="s">
        <v>98</v>
      </c>
      <c r="E113" s="26" t="s">
        <v>17</v>
      </c>
      <c r="F113" s="70" t="s">
        <v>17</v>
      </c>
      <c r="G113" s="26" t="s">
        <v>17</v>
      </c>
      <c r="H113" s="16">
        <f>21758+12527</f>
        <v>34285</v>
      </c>
      <c r="I113" s="41">
        <f>434+1617</f>
        <v>2051</v>
      </c>
      <c r="J113" s="41">
        <v>22131</v>
      </c>
      <c r="K113" s="74">
        <v>4787</v>
      </c>
      <c r="L113" s="83">
        <v>30236</v>
      </c>
      <c r="M113" s="82">
        <v>1310</v>
      </c>
      <c r="N113" s="83">
        <v>27082</v>
      </c>
      <c r="O113" s="82">
        <v>846</v>
      </c>
    </row>
    <row r="114" spans="1:15">
      <c r="A114" s="9">
        <v>21</v>
      </c>
      <c r="B114" s="13"/>
      <c r="C114" s="14"/>
      <c r="D114" s="15" t="s">
        <v>99</v>
      </c>
      <c r="E114" s="26" t="s">
        <v>17</v>
      </c>
      <c r="F114" s="70" t="s">
        <v>17</v>
      </c>
      <c r="G114" s="70" t="s">
        <v>17</v>
      </c>
      <c r="H114" s="149">
        <f>89482+185623</f>
        <v>275105</v>
      </c>
      <c r="I114" s="149"/>
      <c r="J114" s="150">
        <v>57959</v>
      </c>
      <c r="K114" s="151">
        <v>89797</v>
      </c>
      <c r="L114" s="148">
        <v>58853</v>
      </c>
      <c r="M114" s="82">
        <v>11107</v>
      </c>
      <c r="N114" s="83">
        <v>29444</v>
      </c>
      <c r="O114" s="82">
        <v>2713</v>
      </c>
    </row>
    <row r="115" spans="1:15">
      <c r="A115" s="9">
        <v>22</v>
      </c>
      <c r="B115" s="13"/>
      <c r="C115" s="14"/>
      <c r="D115" s="15" t="s">
        <v>219</v>
      </c>
      <c r="E115" s="16"/>
      <c r="F115" s="69"/>
      <c r="G115" s="16"/>
      <c r="H115" s="16"/>
      <c r="I115" s="16"/>
      <c r="J115" s="41"/>
      <c r="K115" s="69"/>
      <c r="L115" s="83"/>
      <c r="M115" s="82"/>
      <c r="N115" s="83">
        <v>28077</v>
      </c>
      <c r="O115" s="82">
        <v>0</v>
      </c>
    </row>
    <row r="116" spans="1:15">
      <c r="A116" s="9">
        <v>23</v>
      </c>
      <c r="B116" s="13"/>
      <c r="C116" s="14"/>
      <c r="D116" s="15" t="s">
        <v>220</v>
      </c>
      <c r="E116" s="26"/>
      <c r="F116" s="70"/>
      <c r="G116" s="16"/>
      <c r="H116" s="32"/>
      <c r="I116" s="32"/>
      <c r="J116" s="121"/>
      <c r="K116" s="73"/>
      <c r="L116" s="84"/>
      <c r="M116" s="84"/>
      <c r="N116" s="84">
        <v>17976</v>
      </c>
      <c r="O116" s="84">
        <v>2168</v>
      </c>
    </row>
    <row r="117" spans="1:15">
      <c r="A117" s="9">
        <v>24</v>
      </c>
      <c r="B117" s="13"/>
      <c r="C117" s="14"/>
      <c r="D117" s="15" t="s">
        <v>221</v>
      </c>
      <c r="E117" s="26"/>
      <c r="F117" s="70"/>
      <c r="G117" s="26"/>
      <c r="H117" s="16"/>
      <c r="I117" s="16"/>
      <c r="J117" s="116"/>
      <c r="K117" s="70"/>
      <c r="L117" s="84"/>
      <c r="M117" s="84"/>
      <c r="N117" s="84">
        <v>608</v>
      </c>
      <c r="O117" s="84">
        <v>32</v>
      </c>
    </row>
    <row r="118" spans="1:15">
      <c r="A118" s="9">
        <v>25</v>
      </c>
      <c r="B118" s="13"/>
      <c r="C118" s="14"/>
      <c r="D118" s="15" t="s">
        <v>222</v>
      </c>
      <c r="E118" s="26"/>
      <c r="F118" s="70"/>
      <c r="G118" s="26"/>
      <c r="H118" s="16"/>
      <c r="I118" s="16"/>
      <c r="J118" s="116"/>
      <c r="K118" s="70"/>
      <c r="L118" s="84"/>
      <c r="M118" s="84"/>
      <c r="N118" s="84">
        <v>0</v>
      </c>
      <c r="O118" s="84">
        <v>0</v>
      </c>
    </row>
    <row r="119" spans="1:15">
      <c r="A119" s="19" t="s">
        <v>100</v>
      </c>
      <c r="B119" s="28"/>
      <c r="C119" s="29" t="s">
        <v>27</v>
      </c>
      <c r="D119" s="33"/>
      <c r="E119" s="30">
        <f>SUM(E95:E116)</f>
        <v>264841</v>
      </c>
      <c r="F119" s="68">
        <f>SUM(F95:F116)</f>
        <v>453212</v>
      </c>
      <c r="G119" s="30">
        <f>SUM(G95:G116)</f>
        <v>559232</v>
      </c>
      <c r="H119" s="30">
        <f t="shared" ref="H119:O119" si="14">SUM(H95:H118)</f>
        <v>609096</v>
      </c>
      <c r="I119" s="30">
        <f t="shared" si="14"/>
        <v>801128</v>
      </c>
      <c r="J119" s="115">
        <f t="shared" si="14"/>
        <v>346788</v>
      </c>
      <c r="K119" s="68">
        <f t="shared" si="14"/>
        <v>818886</v>
      </c>
      <c r="L119" s="68">
        <f t="shared" si="14"/>
        <v>246045</v>
      </c>
      <c r="M119" s="30">
        <f t="shared" si="14"/>
        <v>134155</v>
      </c>
      <c r="N119" s="68">
        <f t="shared" si="14"/>
        <v>223433</v>
      </c>
      <c r="O119" s="30">
        <f t="shared" si="14"/>
        <v>13216</v>
      </c>
    </row>
    <row r="120" spans="1:15">
      <c r="A120" s="9">
        <v>1</v>
      </c>
      <c r="B120" s="20"/>
      <c r="C120" s="2" t="s">
        <v>101</v>
      </c>
      <c r="D120" s="31"/>
      <c r="E120" s="16"/>
      <c r="F120" s="69"/>
      <c r="G120" s="16"/>
      <c r="H120" s="16"/>
      <c r="I120" s="16"/>
      <c r="J120" s="41"/>
      <c r="K120" s="69"/>
      <c r="L120" s="83"/>
      <c r="M120" s="82"/>
      <c r="N120" s="83"/>
      <c r="O120" s="82"/>
    </row>
    <row r="121" spans="1:15">
      <c r="A121" s="9">
        <v>2</v>
      </c>
      <c r="B121" s="13"/>
      <c r="C121" s="14"/>
      <c r="D121" s="15" t="s">
        <v>102</v>
      </c>
      <c r="E121" s="16">
        <v>30583</v>
      </c>
      <c r="F121" s="69">
        <v>60217</v>
      </c>
      <c r="G121" s="16">
        <v>67397</v>
      </c>
      <c r="H121" s="16">
        <f>21847+23950</f>
        <v>45797</v>
      </c>
      <c r="I121" s="16">
        <f>3018+3905</f>
        <v>6923</v>
      </c>
      <c r="J121" s="41">
        <v>9049</v>
      </c>
      <c r="K121" s="69">
        <v>3000</v>
      </c>
      <c r="L121" s="83">
        <v>5091</v>
      </c>
      <c r="M121" s="82">
        <v>10975</v>
      </c>
      <c r="N121" s="83">
        <v>9211</v>
      </c>
      <c r="O121" s="82">
        <v>0</v>
      </c>
    </row>
    <row r="122" spans="1:15">
      <c r="A122" s="9">
        <v>3</v>
      </c>
      <c r="B122" s="13"/>
      <c r="C122" s="14"/>
      <c r="D122" s="15" t="s">
        <v>103</v>
      </c>
      <c r="E122" s="16">
        <v>100268</v>
      </c>
      <c r="F122" s="69">
        <v>104156</v>
      </c>
      <c r="G122" s="16">
        <v>95429</v>
      </c>
      <c r="H122" s="16">
        <f>10625+12062</f>
        <v>22687</v>
      </c>
      <c r="I122" s="16">
        <f>20148+18903</f>
        <v>39051</v>
      </c>
      <c r="J122" s="41">
        <v>33988</v>
      </c>
      <c r="K122" s="69">
        <v>23639</v>
      </c>
      <c r="L122" s="83">
        <v>3696</v>
      </c>
      <c r="M122" s="82">
        <v>5579</v>
      </c>
      <c r="N122" s="83"/>
      <c r="O122" s="82"/>
    </row>
    <row r="123" spans="1:15">
      <c r="A123" s="9">
        <v>4</v>
      </c>
      <c r="B123" s="13"/>
      <c r="C123" s="14"/>
      <c r="D123" s="15" t="s">
        <v>104</v>
      </c>
      <c r="E123" s="16">
        <v>128323</v>
      </c>
      <c r="F123" s="69">
        <v>73711</v>
      </c>
      <c r="G123" s="16">
        <v>140059</v>
      </c>
      <c r="H123" s="16">
        <f>21668+21831</f>
        <v>43499</v>
      </c>
      <c r="I123" s="16">
        <f>24813+23905</f>
        <v>48718</v>
      </c>
      <c r="J123" s="41">
        <v>40694</v>
      </c>
      <c r="K123" s="69">
        <v>33937</v>
      </c>
      <c r="L123" s="83">
        <v>10671</v>
      </c>
      <c r="M123" s="82">
        <v>7981</v>
      </c>
      <c r="N123" s="83">
        <v>6159</v>
      </c>
      <c r="O123" s="82">
        <v>0</v>
      </c>
    </row>
    <row r="124" spans="1:15">
      <c r="A124" s="9">
        <v>5</v>
      </c>
      <c r="B124" s="13"/>
      <c r="C124" s="14"/>
      <c r="D124" s="15" t="s">
        <v>105</v>
      </c>
      <c r="E124" s="16">
        <v>35365</v>
      </c>
      <c r="F124" s="71">
        <v>8186</v>
      </c>
      <c r="G124" s="24">
        <v>20293</v>
      </c>
      <c r="H124" s="24">
        <f>4365+5526</f>
        <v>9891</v>
      </c>
      <c r="I124" s="24">
        <f>303+520</f>
        <v>823</v>
      </c>
      <c r="J124" s="117">
        <v>18610</v>
      </c>
      <c r="K124" s="71">
        <v>2872</v>
      </c>
      <c r="L124" s="83">
        <v>12693</v>
      </c>
      <c r="M124" s="82">
        <v>275</v>
      </c>
      <c r="N124" s="83">
        <v>0</v>
      </c>
      <c r="O124" s="82">
        <v>0</v>
      </c>
    </row>
    <row r="125" spans="1:15">
      <c r="A125" s="9">
        <v>6</v>
      </c>
      <c r="B125" s="13"/>
      <c r="C125" s="14"/>
      <c r="D125" s="15" t="s">
        <v>106</v>
      </c>
      <c r="E125" s="16">
        <v>68608</v>
      </c>
      <c r="F125" s="69">
        <v>52515</v>
      </c>
      <c r="G125" s="16">
        <v>22285</v>
      </c>
      <c r="H125" s="16">
        <f>2689+3007</f>
        <v>5696</v>
      </c>
      <c r="I125" s="16">
        <f>12401+12201</f>
        <v>24602</v>
      </c>
      <c r="J125" s="41">
        <v>11964</v>
      </c>
      <c r="K125" s="69">
        <v>9293</v>
      </c>
      <c r="L125" s="83">
        <v>1195</v>
      </c>
      <c r="M125" s="82">
        <v>1170</v>
      </c>
      <c r="N125" s="83">
        <v>21</v>
      </c>
      <c r="O125" s="82">
        <v>17</v>
      </c>
    </row>
    <row r="126" spans="1:15">
      <c r="A126" s="9">
        <v>7</v>
      </c>
      <c r="B126" s="13"/>
      <c r="C126" s="14"/>
      <c r="D126" s="15" t="s">
        <v>107</v>
      </c>
      <c r="E126" s="16">
        <v>51258</v>
      </c>
      <c r="F126" s="69">
        <v>55711</v>
      </c>
      <c r="G126" s="16">
        <v>57592</v>
      </c>
      <c r="H126" s="16">
        <f>18290+18338</f>
        <v>36628</v>
      </c>
      <c r="I126" s="16">
        <f>369+606</f>
        <v>975</v>
      </c>
      <c r="J126" s="41">
        <v>33484</v>
      </c>
      <c r="K126" s="69">
        <v>7237</v>
      </c>
      <c r="L126" s="83">
        <v>2769</v>
      </c>
      <c r="M126" s="82">
        <v>7914</v>
      </c>
      <c r="N126" s="83">
        <v>0</v>
      </c>
      <c r="O126" s="82">
        <v>0</v>
      </c>
    </row>
    <row r="127" spans="1:15">
      <c r="A127" s="9">
        <v>8</v>
      </c>
      <c r="B127" s="13"/>
      <c r="C127" s="14"/>
      <c r="D127" s="15" t="s">
        <v>108</v>
      </c>
      <c r="E127" s="24" t="s">
        <v>17</v>
      </c>
      <c r="F127" s="70" t="s">
        <v>17</v>
      </c>
      <c r="G127" s="26" t="s">
        <v>17</v>
      </c>
      <c r="H127" s="26">
        <f>3129+3464</f>
        <v>6593</v>
      </c>
      <c r="I127" s="26">
        <f>967+740</f>
        <v>1707</v>
      </c>
      <c r="J127" s="116">
        <v>14403</v>
      </c>
      <c r="K127" s="70">
        <v>4149</v>
      </c>
      <c r="L127" s="83">
        <v>1130</v>
      </c>
      <c r="M127" s="82">
        <v>1138</v>
      </c>
      <c r="N127" s="83">
        <v>1496</v>
      </c>
      <c r="O127" s="82">
        <v>66</v>
      </c>
    </row>
    <row r="128" spans="1:15">
      <c r="A128" s="9">
        <v>9</v>
      </c>
      <c r="B128" s="13"/>
      <c r="C128" s="14"/>
      <c r="D128" s="15" t="s">
        <v>109</v>
      </c>
      <c r="E128" s="24">
        <v>34209</v>
      </c>
      <c r="F128" s="70" t="s">
        <v>17</v>
      </c>
      <c r="G128" s="26">
        <v>101547</v>
      </c>
      <c r="H128" s="26">
        <f>100576+971</f>
        <v>101547</v>
      </c>
      <c r="I128" s="26">
        <v>0</v>
      </c>
      <c r="J128" s="116">
        <v>25652</v>
      </c>
      <c r="K128" s="70">
        <v>13985</v>
      </c>
      <c r="L128" s="84" t="s">
        <v>17</v>
      </c>
      <c r="M128" s="84" t="s">
        <v>17</v>
      </c>
      <c r="N128" s="84">
        <v>4033</v>
      </c>
      <c r="O128" s="84">
        <v>137</v>
      </c>
    </row>
    <row r="129" spans="1:15">
      <c r="A129" s="9">
        <v>10</v>
      </c>
      <c r="B129" s="13"/>
      <c r="C129" s="14"/>
      <c r="D129" s="15" t="s">
        <v>110</v>
      </c>
      <c r="E129" s="16">
        <v>44665</v>
      </c>
      <c r="F129" s="69">
        <v>31262</v>
      </c>
      <c r="G129" s="16">
        <v>10372</v>
      </c>
      <c r="H129" s="16">
        <f>60</f>
        <v>60</v>
      </c>
      <c r="I129" s="16">
        <f>3085+4023</f>
        <v>7108</v>
      </c>
      <c r="J129" s="41">
        <v>2272</v>
      </c>
      <c r="K129" s="69">
        <v>6775</v>
      </c>
      <c r="L129" s="84" t="s">
        <v>17</v>
      </c>
      <c r="M129" s="82">
        <v>1022</v>
      </c>
      <c r="N129" s="84">
        <v>245</v>
      </c>
      <c r="O129" s="82">
        <v>0</v>
      </c>
    </row>
    <row r="130" spans="1:15">
      <c r="A130" s="9">
        <v>11</v>
      </c>
      <c r="B130" s="13"/>
      <c r="C130" s="14"/>
      <c r="D130" s="15" t="s">
        <v>111</v>
      </c>
      <c r="E130" s="16">
        <v>52304</v>
      </c>
      <c r="F130" s="69">
        <v>36304</v>
      </c>
      <c r="G130" s="16">
        <v>32473</v>
      </c>
      <c r="H130" s="16">
        <f>1315+1287</f>
        <v>2602</v>
      </c>
      <c r="I130" s="16">
        <f>10034+11000</f>
        <v>21034</v>
      </c>
      <c r="J130" s="41">
        <v>5656</v>
      </c>
      <c r="K130" s="69">
        <v>8241</v>
      </c>
      <c r="L130" s="84" t="s">
        <v>17</v>
      </c>
      <c r="M130" s="82">
        <v>764</v>
      </c>
      <c r="N130" s="84">
        <v>150</v>
      </c>
      <c r="O130" s="82">
        <v>0</v>
      </c>
    </row>
    <row r="131" spans="1:15">
      <c r="A131" s="9">
        <v>12</v>
      </c>
      <c r="B131" s="13"/>
      <c r="C131" s="14"/>
      <c r="D131" s="15" t="s">
        <v>112</v>
      </c>
      <c r="E131" s="24" t="s">
        <v>17</v>
      </c>
      <c r="F131" s="71" t="s">
        <v>17</v>
      </c>
      <c r="G131" s="24" t="s">
        <v>17</v>
      </c>
      <c r="H131" s="26" t="s">
        <v>17</v>
      </c>
      <c r="I131" s="26" t="s">
        <v>17</v>
      </c>
      <c r="J131" s="116" t="s">
        <v>17</v>
      </c>
      <c r="K131" s="70" t="s">
        <v>17</v>
      </c>
      <c r="L131" s="84" t="s">
        <v>17</v>
      </c>
      <c r="M131" s="84" t="s">
        <v>17</v>
      </c>
      <c r="N131" s="84">
        <v>185</v>
      </c>
      <c r="O131" s="84">
        <v>0</v>
      </c>
    </row>
    <row r="132" spans="1:15">
      <c r="A132" s="9">
        <v>13</v>
      </c>
      <c r="B132" s="13"/>
      <c r="C132" s="14"/>
      <c r="D132" s="15" t="s">
        <v>113</v>
      </c>
      <c r="E132" s="24" t="s">
        <v>17</v>
      </c>
      <c r="F132" s="71" t="s">
        <v>17</v>
      </c>
      <c r="G132" s="24" t="s">
        <v>17</v>
      </c>
      <c r="H132" s="26" t="s">
        <v>17</v>
      </c>
      <c r="I132" s="26" t="s">
        <v>17</v>
      </c>
      <c r="J132" s="116" t="s">
        <v>17</v>
      </c>
      <c r="K132" s="70" t="s">
        <v>17</v>
      </c>
      <c r="L132" s="84" t="s">
        <v>17</v>
      </c>
      <c r="M132" s="84" t="s">
        <v>17</v>
      </c>
      <c r="N132" s="84">
        <v>0</v>
      </c>
      <c r="O132" s="84">
        <v>0</v>
      </c>
    </row>
    <row r="133" spans="1:15">
      <c r="A133" s="9">
        <v>14</v>
      </c>
      <c r="B133" s="13"/>
      <c r="C133" s="14"/>
      <c r="D133" s="15" t="s">
        <v>114</v>
      </c>
      <c r="E133" s="24" t="s">
        <v>17</v>
      </c>
      <c r="F133" s="71" t="s">
        <v>17</v>
      </c>
      <c r="G133" s="24" t="s">
        <v>17</v>
      </c>
      <c r="H133" s="24">
        <f>3987+2646</f>
        <v>6633</v>
      </c>
      <c r="I133" s="24">
        <f>1524+1138</f>
        <v>2662</v>
      </c>
      <c r="J133" s="117">
        <v>7951</v>
      </c>
      <c r="K133" s="71">
        <v>4346</v>
      </c>
      <c r="L133" s="83">
        <v>17900</v>
      </c>
      <c r="M133" s="82">
        <v>1395</v>
      </c>
      <c r="N133" s="83">
        <v>6221</v>
      </c>
      <c r="O133" s="82">
        <v>0</v>
      </c>
    </row>
    <row r="134" spans="1:15">
      <c r="A134" s="9">
        <v>15</v>
      </c>
      <c r="B134" s="13"/>
      <c r="C134" s="14"/>
      <c r="D134" s="15" t="s">
        <v>115</v>
      </c>
      <c r="E134" s="24">
        <v>20939</v>
      </c>
      <c r="F134" s="71">
        <v>31792</v>
      </c>
      <c r="G134" s="24">
        <v>4470</v>
      </c>
      <c r="H134" s="24">
        <f>959+385</f>
        <v>1344</v>
      </c>
      <c r="I134" s="24">
        <f>1293+1731</f>
        <v>3024</v>
      </c>
      <c r="J134" s="117">
        <v>7941</v>
      </c>
      <c r="K134" s="71">
        <v>2002</v>
      </c>
      <c r="L134" s="83">
        <v>536</v>
      </c>
      <c r="M134" s="82">
        <v>45</v>
      </c>
      <c r="N134" s="83">
        <v>10709</v>
      </c>
      <c r="O134" s="82">
        <v>0</v>
      </c>
    </row>
    <row r="135" spans="1:15">
      <c r="A135" s="9">
        <v>16</v>
      </c>
      <c r="B135" s="13"/>
      <c r="C135" s="14"/>
      <c r="D135" s="15" t="s">
        <v>116</v>
      </c>
      <c r="E135" s="16">
        <v>2708</v>
      </c>
      <c r="F135" s="69">
        <v>718</v>
      </c>
      <c r="G135" s="16">
        <v>3408</v>
      </c>
      <c r="H135" s="16">
        <f>841+660</f>
        <v>1501</v>
      </c>
      <c r="I135" s="16">
        <f>458+382</f>
        <v>840</v>
      </c>
      <c r="J135" s="41">
        <v>1286</v>
      </c>
      <c r="K135" s="69">
        <v>1179</v>
      </c>
      <c r="L135" s="83">
        <v>442</v>
      </c>
      <c r="M135" s="82">
        <v>190</v>
      </c>
      <c r="N135" s="83">
        <v>0</v>
      </c>
      <c r="O135" s="82">
        <v>0</v>
      </c>
    </row>
    <row r="136" spans="1:15">
      <c r="A136" s="131">
        <v>17</v>
      </c>
      <c r="B136" s="13"/>
      <c r="C136" s="14"/>
      <c r="D136" s="14" t="s">
        <v>117</v>
      </c>
      <c r="E136" s="16">
        <v>6539</v>
      </c>
      <c r="F136" s="69">
        <v>22906</v>
      </c>
      <c r="G136" s="16">
        <v>4986</v>
      </c>
      <c r="H136" s="16">
        <f>568+330</f>
        <v>898</v>
      </c>
      <c r="I136" s="16">
        <f>1669+1193</f>
        <v>2862</v>
      </c>
      <c r="J136" s="41">
        <v>2408</v>
      </c>
      <c r="K136" s="69">
        <v>1044</v>
      </c>
      <c r="L136" s="83">
        <v>587</v>
      </c>
      <c r="M136" s="82">
        <v>347</v>
      </c>
      <c r="N136" s="83">
        <v>0</v>
      </c>
      <c r="O136" s="82">
        <v>0</v>
      </c>
    </row>
    <row r="137" spans="1:15">
      <c r="A137" s="45">
        <v>18</v>
      </c>
      <c r="B137" s="13"/>
      <c r="C137" s="14"/>
      <c r="D137" s="15" t="s">
        <v>118</v>
      </c>
      <c r="E137" s="16">
        <v>5264</v>
      </c>
      <c r="F137" s="69">
        <v>1802</v>
      </c>
      <c r="G137" s="16">
        <v>3216</v>
      </c>
      <c r="H137" s="16">
        <f>371+781</f>
        <v>1152</v>
      </c>
      <c r="I137" s="16">
        <f>195+632</f>
        <v>827</v>
      </c>
      <c r="J137" s="41">
        <v>1113</v>
      </c>
      <c r="K137" s="130">
        <v>862</v>
      </c>
      <c r="L137" s="83">
        <v>371</v>
      </c>
      <c r="M137" s="82">
        <v>209</v>
      </c>
      <c r="N137" s="83">
        <v>34</v>
      </c>
      <c r="O137" s="82">
        <v>0</v>
      </c>
    </row>
    <row r="138" spans="1:15">
      <c r="A138" s="45">
        <v>19</v>
      </c>
      <c r="B138" s="14"/>
      <c r="C138" s="14"/>
      <c r="D138" s="46" t="s">
        <v>119</v>
      </c>
      <c r="E138" s="16">
        <v>58785</v>
      </c>
      <c r="F138" s="69">
        <v>39684</v>
      </c>
      <c r="G138" s="16">
        <v>65872</v>
      </c>
      <c r="H138" s="16">
        <f>3281+3438</f>
        <v>6719</v>
      </c>
      <c r="I138" s="16">
        <f>18191+21203</f>
        <v>39394</v>
      </c>
      <c r="J138" s="41">
        <v>8098</v>
      </c>
      <c r="K138" s="69">
        <v>35036</v>
      </c>
      <c r="L138" s="83">
        <v>7600</v>
      </c>
      <c r="M138" s="82">
        <v>2167</v>
      </c>
      <c r="N138" s="83">
        <v>0</v>
      </c>
      <c r="O138" s="82">
        <v>0</v>
      </c>
    </row>
    <row r="139" spans="1:15">
      <c r="A139" s="45">
        <v>20</v>
      </c>
      <c r="B139" s="14"/>
      <c r="C139" s="14"/>
      <c r="D139" s="46" t="s">
        <v>120</v>
      </c>
      <c r="E139" s="16">
        <v>12250</v>
      </c>
      <c r="F139" s="70">
        <v>80710</v>
      </c>
      <c r="G139" s="26">
        <v>13741</v>
      </c>
      <c r="H139" s="26">
        <f>3647+4161</f>
        <v>7808</v>
      </c>
      <c r="I139" s="26">
        <f>5512+2987</f>
        <v>8499</v>
      </c>
      <c r="J139" s="116">
        <v>11700</v>
      </c>
      <c r="K139" s="70">
        <v>6674</v>
      </c>
      <c r="L139" s="83">
        <v>2629</v>
      </c>
      <c r="M139" s="82">
        <v>2050</v>
      </c>
      <c r="N139" s="83">
        <v>77</v>
      </c>
      <c r="O139" s="82">
        <v>0</v>
      </c>
    </row>
    <row r="140" spans="1:15">
      <c r="A140" s="45">
        <v>21</v>
      </c>
      <c r="B140" s="14"/>
      <c r="C140" s="14"/>
      <c r="D140" s="46" t="s">
        <v>121</v>
      </c>
      <c r="E140" s="24" t="s">
        <v>17</v>
      </c>
      <c r="F140" s="70" t="s">
        <v>17</v>
      </c>
      <c r="G140" s="26" t="s">
        <v>17</v>
      </c>
      <c r="H140" s="26" t="s">
        <v>17</v>
      </c>
      <c r="I140" s="26" t="s">
        <v>17</v>
      </c>
      <c r="J140" s="116" t="s">
        <v>17</v>
      </c>
      <c r="K140" s="70" t="s">
        <v>17</v>
      </c>
      <c r="L140" s="84" t="s">
        <v>17</v>
      </c>
      <c r="M140" s="84" t="s">
        <v>17</v>
      </c>
      <c r="N140" s="84">
        <v>216</v>
      </c>
      <c r="O140" s="84">
        <v>14</v>
      </c>
    </row>
    <row r="141" spans="1:15">
      <c r="A141" s="45">
        <v>22</v>
      </c>
      <c r="B141" s="14"/>
      <c r="C141" s="14"/>
      <c r="D141" s="46" t="s">
        <v>122</v>
      </c>
      <c r="E141" s="24" t="s">
        <v>17</v>
      </c>
      <c r="F141" s="69">
        <v>77511</v>
      </c>
      <c r="G141" s="16">
        <v>60746</v>
      </c>
      <c r="H141" s="16">
        <f>384+37</f>
        <v>421</v>
      </c>
      <c r="I141" s="16">
        <f>12451+24961</f>
        <v>37412</v>
      </c>
      <c r="J141" s="116" t="s">
        <v>17</v>
      </c>
      <c r="K141" s="70" t="s">
        <v>17</v>
      </c>
      <c r="L141" s="84" t="s">
        <v>17</v>
      </c>
      <c r="M141" s="84" t="s">
        <v>17</v>
      </c>
      <c r="N141" s="84">
        <v>0</v>
      </c>
      <c r="O141" s="84">
        <v>0</v>
      </c>
    </row>
    <row r="142" spans="1:15">
      <c r="A142" s="45">
        <v>23</v>
      </c>
      <c r="B142" s="14"/>
      <c r="C142" s="14"/>
      <c r="D142" s="46" t="s">
        <v>123</v>
      </c>
      <c r="E142" s="16">
        <v>18530</v>
      </c>
      <c r="F142" s="71" t="s">
        <v>17</v>
      </c>
      <c r="G142" s="24" t="s">
        <v>17</v>
      </c>
      <c r="H142" s="26" t="s">
        <v>17</v>
      </c>
      <c r="I142" s="26" t="s">
        <v>17</v>
      </c>
      <c r="J142" s="116" t="s">
        <v>17</v>
      </c>
      <c r="K142" s="70" t="s">
        <v>17</v>
      </c>
      <c r="L142" s="84" t="s">
        <v>17</v>
      </c>
      <c r="M142" s="84" t="s">
        <v>17</v>
      </c>
      <c r="N142" s="84">
        <v>0</v>
      </c>
      <c r="O142" s="84">
        <v>0</v>
      </c>
    </row>
    <row r="143" spans="1:15">
      <c r="A143" s="45">
        <v>24</v>
      </c>
      <c r="B143" s="14"/>
      <c r="C143" s="14"/>
      <c r="D143" s="46" t="s">
        <v>124</v>
      </c>
      <c r="E143" s="16">
        <v>644</v>
      </c>
      <c r="F143" s="71" t="s">
        <v>17</v>
      </c>
      <c r="G143" s="24" t="s">
        <v>17</v>
      </c>
      <c r="H143" s="26" t="s">
        <v>17</v>
      </c>
      <c r="I143" s="26" t="s">
        <v>17</v>
      </c>
      <c r="J143" s="116" t="s">
        <v>17</v>
      </c>
      <c r="K143" s="70" t="s">
        <v>17</v>
      </c>
      <c r="L143" s="84" t="s">
        <v>17</v>
      </c>
      <c r="M143" s="84" t="s">
        <v>17</v>
      </c>
      <c r="N143" s="84">
        <v>0</v>
      </c>
      <c r="O143" s="84">
        <v>0</v>
      </c>
    </row>
    <row r="144" spans="1:15">
      <c r="A144" s="45">
        <v>25</v>
      </c>
      <c r="B144" s="14"/>
      <c r="C144" s="14"/>
      <c r="D144" s="46" t="s">
        <v>125</v>
      </c>
      <c r="E144" s="16">
        <v>444</v>
      </c>
      <c r="F144" s="71" t="s">
        <v>17</v>
      </c>
      <c r="G144" s="24" t="s">
        <v>17</v>
      </c>
      <c r="H144" s="26" t="s">
        <v>17</v>
      </c>
      <c r="I144" s="24">
        <f>994+788</f>
        <v>1782</v>
      </c>
      <c r="J144" s="116" t="s">
        <v>17</v>
      </c>
      <c r="K144" s="70" t="s">
        <v>17</v>
      </c>
      <c r="L144" s="84" t="s">
        <v>17</v>
      </c>
      <c r="M144" s="84" t="s">
        <v>17</v>
      </c>
      <c r="N144" s="84">
        <v>0</v>
      </c>
      <c r="O144" s="84">
        <v>0</v>
      </c>
    </row>
    <row r="145" spans="1:15">
      <c r="A145" s="45">
        <v>26</v>
      </c>
      <c r="B145" s="14"/>
      <c r="C145" s="14"/>
      <c r="D145" s="46" t="s">
        <v>126</v>
      </c>
      <c r="E145" s="16">
        <v>2500</v>
      </c>
      <c r="F145" s="69">
        <v>7750</v>
      </c>
      <c r="G145" s="24" t="s">
        <v>17</v>
      </c>
      <c r="H145" s="24"/>
      <c r="I145" s="26" t="s">
        <v>17</v>
      </c>
      <c r="J145" s="117">
        <v>15000</v>
      </c>
      <c r="K145" s="70">
        <v>933</v>
      </c>
      <c r="L145" s="84" t="s">
        <v>17</v>
      </c>
      <c r="M145" s="84" t="s">
        <v>17</v>
      </c>
      <c r="N145" s="84">
        <v>0</v>
      </c>
      <c r="O145" s="84">
        <v>0</v>
      </c>
    </row>
    <row r="146" spans="1:15">
      <c r="A146" s="45">
        <v>27</v>
      </c>
      <c r="B146" s="14"/>
      <c r="C146" s="14"/>
      <c r="D146" s="46" t="s">
        <v>127</v>
      </c>
      <c r="E146" s="16">
        <v>10500</v>
      </c>
      <c r="F146" s="69">
        <v>500</v>
      </c>
      <c r="G146" s="16">
        <v>145142</v>
      </c>
      <c r="H146" s="16">
        <f>30083+41500</f>
        <v>71583</v>
      </c>
      <c r="I146" s="24" t="s">
        <v>17</v>
      </c>
      <c r="J146" s="41">
        <v>40000</v>
      </c>
      <c r="K146" s="71">
        <v>5859</v>
      </c>
      <c r="L146" s="84" t="s">
        <v>17</v>
      </c>
      <c r="M146" s="84" t="s">
        <v>17</v>
      </c>
      <c r="N146" s="84">
        <v>0</v>
      </c>
      <c r="O146" s="84">
        <v>0</v>
      </c>
    </row>
    <row r="147" spans="1:15">
      <c r="A147" s="45">
        <v>28</v>
      </c>
      <c r="B147" s="14"/>
      <c r="C147" s="14"/>
      <c r="D147" s="46" t="s">
        <v>128</v>
      </c>
      <c r="E147" s="16">
        <v>4965</v>
      </c>
      <c r="F147" s="71" t="s">
        <v>17</v>
      </c>
      <c r="G147" s="24" t="s">
        <v>17</v>
      </c>
      <c r="H147" s="24" t="s">
        <v>17</v>
      </c>
      <c r="I147" s="24" t="s">
        <v>17</v>
      </c>
      <c r="J147" s="116" t="s">
        <v>17</v>
      </c>
      <c r="K147" s="70" t="s">
        <v>17</v>
      </c>
      <c r="L147" s="84" t="s">
        <v>17</v>
      </c>
      <c r="M147" s="84" t="s">
        <v>17</v>
      </c>
      <c r="N147" s="84">
        <v>0</v>
      </c>
      <c r="O147" s="84">
        <v>0</v>
      </c>
    </row>
    <row r="148" spans="1:15">
      <c r="A148" s="45">
        <v>29</v>
      </c>
      <c r="B148" s="14"/>
      <c r="C148" s="14"/>
      <c r="D148" s="46" t="s">
        <v>129</v>
      </c>
      <c r="E148" s="16">
        <v>5053</v>
      </c>
      <c r="F148" s="69">
        <v>7500</v>
      </c>
      <c r="G148" s="16">
        <v>25668</v>
      </c>
      <c r="H148" s="16">
        <f>10294+10295</f>
        <v>20589</v>
      </c>
      <c r="I148" s="16">
        <f>300+682</f>
        <v>982</v>
      </c>
      <c r="J148" s="41">
        <v>25850</v>
      </c>
      <c r="K148" s="69">
        <v>995</v>
      </c>
      <c r="L148" s="84" t="s">
        <v>17</v>
      </c>
      <c r="M148" s="84" t="s">
        <v>17</v>
      </c>
      <c r="N148" s="84">
        <v>0</v>
      </c>
      <c r="O148" s="84">
        <v>0</v>
      </c>
    </row>
    <row r="149" spans="1:15">
      <c r="A149" s="45">
        <v>30</v>
      </c>
      <c r="B149" s="14"/>
      <c r="C149" s="14"/>
      <c r="D149" s="46" t="s">
        <v>130</v>
      </c>
      <c r="E149" s="24" t="s">
        <v>17</v>
      </c>
      <c r="F149" s="69">
        <v>159</v>
      </c>
      <c r="G149" s="24" t="s">
        <v>17</v>
      </c>
      <c r="H149" s="24" t="s">
        <v>17</v>
      </c>
      <c r="I149" s="24" t="s">
        <v>17</v>
      </c>
      <c r="J149" s="116" t="s">
        <v>17</v>
      </c>
      <c r="K149" s="70" t="s">
        <v>17</v>
      </c>
      <c r="L149" s="84" t="s">
        <v>17</v>
      </c>
      <c r="M149" s="84" t="s">
        <v>17</v>
      </c>
      <c r="N149" s="84">
        <v>0</v>
      </c>
      <c r="O149" s="84">
        <v>0</v>
      </c>
    </row>
    <row r="150" spans="1:15">
      <c r="A150" s="45">
        <v>31</v>
      </c>
      <c r="B150" s="14"/>
      <c r="C150" s="14"/>
      <c r="D150" s="46" t="s">
        <v>131</v>
      </c>
      <c r="E150" s="24" t="s">
        <v>17</v>
      </c>
      <c r="F150" s="69">
        <v>5250</v>
      </c>
      <c r="G150" s="16">
        <v>13126</v>
      </c>
      <c r="H150" s="16">
        <f>6747+8246</f>
        <v>14993</v>
      </c>
      <c r="I150" s="16">
        <f>10+10</f>
        <v>20</v>
      </c>
      <c r="J150" s="41">
        <v>20000</v>
      </c>
      <c r="K150" s="69">
        <v>100</v>
      </c>
      <c r="L150" s="84" t="s">
        <v>17</v>
      </c>
      <c r="M150" s="84" t="s">
        <v>17</v>
      </c>
      <c r="N150" s="84">
        <v>0</v>
      </c>
      <c r="O150" s="84">
        <v>0</v>
      </c>
    </row>
    <row r="151" spans="1:15">
      <c r="A151" s="45">
        <v>32</v>
      </c>
      <c r="B151" s="14"/>
      <c r="C151" s="14"/>
      <c r="D151" s="46" t="s">
        <v>132</v>
      </c>
      <c r="E151" s="24" t="s">
        <v>17</v>
      </c>
      <c r="F151" s="69">
        <v>150</v>
      </c>
      <c r="G151" s="24" t="s">
        <v>17</v>
      </c>
      <c r="H151" s="26" t="s">
        <v>17</v>
      </c>
      <c r="I151" s="26" t="s">
        <v>17</v>
      </c>
      <c r="J151" s="116" t="s">
        <v>17</v>
      </c>
      <c r="K151" s="70" t="s">
        <v>17</v>
      </c>
      <c r="L151" s="84" t="s">
        <v>17</v>
      </c>
      <c r="M151" s="84" t="s">
        <v>17</v>
      </c>
      <c r="N151" s="84">
        <v>0</v>
      </c>
      <c r="O151" s="84">
        <v>0</v>
      </c>
    </row>
    <row r="152" spans="1:15">
      <c r="A152" s="45">
        <v>33</v>
      </c>
      <c r="B152" s="14"/>
      <c r="C152" s="14"/>
      <c r="D152" s="46" t="s">
        <v>133</v>
      </c>
      <c r="E152" s="24" t="s">
        <v>17</v>
      </c>
      <c r="F152" s="71" t="s">
        <v>17</v>
      </c>
      <c r="G152" s="16">
        <v>9212</v>
      </c>
      <c r="H152" s="26" t="s">
        <v>17</v>
      </c>
      <c r="I152" s="26" t="s">
        <v>17</v>
      </c>
      <c r="J152" s="116" t="s">
        <v>17</v>
      </c>
      <c r="K152" s="70" t="s">
        <v>17</v>
      </c>
      <c r="L152" s="84" t="s">
        <v>17</v>
      </c>
      <c r="M152" s="84" t="s">
        <v>17</v>
      </c>
      <c r="N152" s="84">
        <v>0</v>
      </c>
      <c r="O152" s="84">
        <v>0</v>
      </c>
    </row>
    <row r="153" spans="1:15">
      <c r="A153" s="45">
        <v>34</v>
      </c>
      <c r="B153" s="14"/>
      <c r="C153" s="14"/>
      <c r="D153" s="46" t="s">
        <v>134</v>
      </c>
      <c r="E153" s="24" t="s">
        <v>17</v>
      </c>
      <c r="F153" s="71" t="s">
        <v>17</v>
      </c>
      <c r="G153" s="16">
        <v>57696</v>
      </c>
      <c r="H153" s="16">
        <f>38200+19496</f>
        <v>57696</v>
      </c>
      <c r="I153" s="26" t="s">
        <v>17</v>
      </c>
      <c r="J153" s="116" t="s">
        <v>17</v>
      </c>
      <c r="K153" s="70" t="s">
        <v>17</v>
      </c>
      <c r="L153" s="84" t="s">
        <v>17</v>
      </c>
      <c r="M153" s="84" t="s">
        <v>17</v>
      </c>
      <c r="N153" s="84">
        <v>0</v>
      </c>
      <c r="O153" s="84">
        <v>0</v>
      </c>
    </row>
    <row r="154" spans="1:15">
      <c r="A154" s="45">
        <v>35</v>
      </c>
      <c r="B154" s="14"/>
      <c r="C154" s="14"/>
      <c r="D154" s="46" t="s">
        <v>135</v>
      </c>
      <c r="E154" s="24" t="s">
        <v>17</v>
      </c>
      <c r="F154" s="71" t="s">
        <v>17</v>
      </c>
      <c r="G154" s="24" t="s">
        <v>17</v>
      </c>
      <c r="H154" s="16">
        <f>3524+2476</f>
        <v>6000</v>
      </c>
      <c r="I154" s="16">
        <f>18100+18000</f>
        <v>36100</v>
      </c>
      <c r="J154" s="41">
        <v>27456</v>
      </c>
      <c r="K154" s="69">
        <v>18647</v>
      </c>
      <c r="L154" s="83">
        <v>5281</v>
      </c>
      <c r="M154" s="82">
        <v>3951</v>
      </c>
      <c r="N154" s="83">
        <v>79</v>
      </c>
      <c r="O154" s="82">
        <v>189</v>
      </c>
    </row>
    <row r="155" spans="1:15">
      <c r="A155" s="45">
        <v>36</v>
      </c>
      <c r="B155" s="14"/>
      <c r="C155" s="14"/>
      <c r="D155" s="46" t="s">
        <v>136</v>
      </c>
      <c r="E155" s="24" t="s">
        <v>17</v>
      </c>
      <c r="F155" s="71" t="s">
        <v>17</v>
      </c>
      <c r="G155" s="24" t="s">
        <v>17</v>
      </c>
      <c r="H155" s="16">
        <f>867+651</f>
        <v>1518</v>
      </c>
      <c r="I155" s="16">
        <f>5841+3196</f>
        <v>9037</v>
      </c>
      <c r="J155" s="41">
        <v>7205</v>
      </c>
      <c r="K155" s="69">
        <v>3382</v>
      </c>
      <c r="L155" s="83">
        <v>691</v>
      </c>
      <c r="M155" s="82">
        <v>755</v>
      </c>
      <c r="N155" s="83">
        <v>0</v>
      </c>
      <c r="O155" s="82">
        <v>0</v>
      </c>
    </row>
    <row r="156" spans="1:15">
      <c r="A156" s="45">
        <v>37</v>
      </c>
      <c r="B156" s="14"/>
      <c r="C156" s="14"/>
      <c r="D156" s="46" t="s">
        <v>137</v>
      </c>
      <c r="E156" s="24" t="s">
        <v>17</v>
      </c>
      <c r="F156" s="71" t="s">
        <v>17</v>
      </c>
      <c r="G156" s="24" t="s">
        <v>17</v>
      </c>
      <c r="H156" s="16">
        <f>38</f>
        <v>38</v>
      </c>
      <c r="I156" s="16">
        <f>518+501</f>
        <v>1019</v>
      </c>
      <c r="J156" s="41">
        <v>2589</v>
      </c>
      <c r="K156" s="69">
        <v>278</v>
      </c>
      <c r="L156" s="83">
        <v>180</v>
      </c>
      <c r="M156" s="82">
        <v>103</v>
      </c>
      <c r="N156" s="83">
        <v>0</v>
      </c>
      <c r="O156" s="82">
        <v>0</v>
      </c>
    </row>
    <row r="157" spans="1:15">
      <c r="A157" s="45">
        <v>38</v>
      </c>
      <c r="B157" s="14"/>
      <c r="C157" s="14"/>
      <c r="D157" s="46" t="s">
        <v>138</v>
      </c>
      <c r="E157" s="24" t="s">
        <v>17</v>
      </c>
      <c r="F157" s="71" t="s">
        <v>17</v>
      </c>
      <c r="G157" s="24" t="s">
        <v>17</v>
      </c>
      <c r="H157" s="24" t="s">
        <v>17</v>
      </c>
      <c r="I157" s="16">
        <f>22156+11825</f>
        <v>33981</v>
      </c>
      <c r="J157" s="117">
        <v>832</v>
      </c>
      <c r="K157" s="69">
        <v>9186</v>
      </c>
      <c r="L157" s="84" t="s">
        <v>17</v>
      </c>
      <c r="M157" s="84" t="s">
        <v>17</v>
      </c>
      <c r="N157" s="84">
        <v>0</v>
      </c>
      <c r="O157" s="84">
        <v>0</v>
      </c>
    </row>
    <row r="158" spans="1:15">
      <c r="A158" s="45">
        <v>39</v>
      </c>
      <c r="B158" s="14"/>
      <c r="C158" s="14"/>
      <c r="D158" s="46" t="s">
        <v>139</v>
      </c>
      <c r="E158" s="24" t="s">
        <v>17</v>
      </c>
      <c r="F158" s="71" t="s">
        <v>17</v>
      </c>
      <c r="G158" s="24" t="s">
        <v>17</v>
      </c>
      <c r="H158" s="24" t="s">
        <v>17</v>
      </c>
      <c r="I158" s="16">
        <f>2008+2101</f>
        <v>4109</v>
      </c>
      <c r="J158" s="116" t="s">
        <v>17</v>
      </c>
      <c r="K158" s="70" t="s">
        <v>17</v>
      </c>
      <c r="L158" s="84" t="s">
        <v>17</v>
      </c>
      <c r="M158" s="84" t="s">
        <v>17</v>
      </c>
      <c r="N158" s="84">
        <v>0</v>
      </c>
      <c r="O158" s="84">
        <v>0</v>
      </c>
    </row>
    <row r="159" spans="1:15">
      <c r="A159" s="45">
        <v>40</v>
      </c>
      <c r="B159" s="14"/>
      <c r="C159" s="14"/>
      <c r="D159" s="46" t="s">
        <v>140</v>
      </c>
      <c r="E159" s="24" t="s">
        <v>17</v>
      </c>
      <c r="F159" s="71" t="s">
        <v>17</v>
      </c>
      <c r="G159" s="24" t="s">
        <v>17</v>
      </c>
      <c r="H159" s="24" t="s">
        <v>17</v>
      </c>
      <c r="I159" s="16">
        <f>1231+1216</f>
        <v>2447</v>
      </c>
      <c r="J159" s="116" t="s">
        <v>17</v>
      </c>
      <c r="K159" s="70" t="s">
        <v>17</v>
      </c>
      <c r="L159" s="84" t="s">
        <v>17</v>
      </c>
      <c r="M159" s="84" t="s">
        <v>17</v>
      </c>
      <c r="N159" s="84">
        <v>0</v>
      </c>
      <c r="O159" s="84">
        <v>0</v>
      </c>
    </row>
    <row r="160" spans="1:15">
      <c r="A160" s="45">
        <v>41</v>
      </c>
      <c r="B160" s="14"/>
      <c r="C160" s="14"/>
      <c r="D160" s="46" t="s">
        <v>141</v>
      </c>
      <c r="E160" s="24" t="s">
        <v>17</v>
      </c>
      <c r="F160" s="71" t="s">
        <v>17</v>
      </c>
      <c r="G160" s="24" t="s">
        <v>17</v>
      </c>
      <c r="H160" s="16">
        <f>8964+3036</f>
        <v>12000</v>
      </c>
      <c r="I160" s="16">
        <f>198+200</f>
        <v>398</v>
      </c>
      <c r="J160" s="41">
        <v>15000</v>
      </c>
      <c r="K160" s="69">
        <v>245</v>
      </c>
      <c r="L160" s="84" t="s">
        <v>17</v>
      </c>
      <c r="M160" s="84" t="s">
        <v>17</v>
      </c>
      <c r="N160" s="84">
        <v>0</v>
      </c>
      <c r="O160" s="84">
        <v>0</v>
      </c>
    </row>
    <row r="161" spans="1:15">
      <c r="A161" s="45">
        <v>42</v>
      </c>
      <c r="B161" s="14"/>
      <c r="C161" s="14"/>
      <c r="D161" s="46" t="s">
        <v>142</v>
      </c>
      <c r="E161" s="24" t="s">
        <v>17</v>
      </c>
      <c r="F161" s="71" t="s">
        <v>17</v>
      </c>
      <c r="G161" s="24" t="s">
        <v>17</v>
      </c>
      <c r="H161" s="16">
        <f>14065+10666</f>
        <v>24731</v>
      </c>
      <c r="I161" s="16">
        <f>300+450</f>
        <v>750</v>
      </c>
      <c r="J161" s="41">
        <v>24000</v>
      </c>
      <c r="K161" s="69">
        <v>1481</v>
      </c>
      <c r="L161" s="84" t="s">
        <v>17</v>
      </c>
      <c r="M161" s="84" t="s">
        <v>17</v>
      </c>
      <c r="N161" s="84">
        <v>0</v>
      </c>
      <c r="O161" s="84">
        <v>0</v>
      </c>
    </row>
    <row r="162" spans="1:15">
      <c r="A162" s="45">
        <v>43</v>
      </c>
      <c r="B162" s="14"/>
      <c r="C162" s="14"/>
      <c r="D162" s="46" t="s">
        <v>143</v>
      </c>
      <c r="E162" s="24" t="s">
        <v>17</v>
      </c>
      <c r="F162" s="71" t="s">
        <v>17</v>
      </c>
      <c r="G162" s="24" t="s">
        <v>17</v>
      </c>
      <c r="H162" s="16">
        <f>49889+50190</f>
        <v>100079</v>
      </c>
      <c r="I162" s="16">
        <f>28147+27874</f>
        <v>56021</v>
      </c>
      <c r="J162" s="41">
        <v>14839</v>
      </c>
      <c r="K162" s="69">
        <v>6825</v>
      </c>
      <c r="L162" s="84" t="s">
        <v>17</v>
      </c>
      <c r="M162" s="84" t="s">
        <v>17</v>
      </c>
      <c r="N162" s="84">
        <v>0</v>
      </c>
      <c r="O162" s="84">
        <v>0</v>
      </c>
    </row>
    <row r="163" spans="1:15">
      <c r="A163" s="45">
        <v>44</v>
      </c>
      <c r="B163" s="14"/>
      <c r="C163" s="14"/>
      <c r="D163" s="46" t="s">
        <v>223</v>
      </c>
      <c r="E163" s="24"/>
      <c r="F163" s="71"/>
      <c r="G163" s="16"/>
      <c r="H163" s="26"/>
      <c r="I163" s="26"/>
      <c r="J163" s="116"/>
      <c r="K163" s="70"/>
      <c r="L163" s="84">
        <v>0</v>
      </c>
      <c r="M163" s="84">
        <v>0</v>
      </c>
      <c r="N163" s="84">
        <v>3209</v>
      </c>
      <c r="O163" s="84">
        <v>0</v>
      </c>
    </row>
    <row r="164" spans="1:15">
      <c r="A164" s="45">
        <v>45</v>
      </c>
      <c r="B164" s="14"/>
      <c r="C164" s="14"/>
      <c r="D164" s="46" t="s">
        <v>224</v>
      </c>
      <c r="E164" s="24"/>
      <c r="F164" s="71"/>
      <c r="G164" s="16"/>
      <c r="H164" s="16"/>
      <c r="I164" s="26"/>
      <c r="J164" s="116"/>
      <c r="K164" s="70"/>
      <c r="L164" s="84">
        <v>0</v>
      </c>
      <c r="M164" s="84">
        <v>0</v>
      </c>
      <c r="N164" s="84">
        <v>1705</v>
      </c>
      <c r="O164" s="84">
        <v>0</v>
      </c>
    </row>
    <row r="165" spans="1:15">
      <c r="A165" s="45">
        <v>46</v>
      </c>
      <c r="B165" s="14"/>
      <c r="C165" s="14"/>
      <c r="D165" s="46" t="s">
        <v>225</v>
      </c>
      <c r="E165" s="24"/>
      <c r="F165" s="71"/>
      <c r="G165" s="24"/>
      <c r="H165" s="16"/>
      <c r="I165" s="16"/>
      <c r="J165" s="41"/>
      <c r="K165" s="69"/>
      <c r="L165" s="83">
        <v>0</v>
      </c>
      <c r="M165" s="82">
        <v>0</v>
      </c>
      <c r="N165" s="83">
        <v>2106</v>
      </c>
      <c r="O165" s="82">
        <v>78</v>
      </c>
    </row>
    <row r="166" spans="1:15">
      <c r="A166" s="45">
        <v>47</v>
      </c>
      <c r="B166" s="14"/>
      <c r="C166" s="14"/>
      <c r="D166" s="46" t="s">
        <v>226</v>
      </c>
      <c r="E166" s="24"/>
      <c r="F166" s="71"/>
      <c r="G166" s="24"/>
      <c r="H166" s="16"/>
      <c r="I166" s="16"/>
      <c r="J166" s="41"/>
      <c r="K166" s="69"/>
      <c r="L166" s="83">
        <v>0</v>
      </c>
      <c r="M166" s="82">
        <v>0</v>
      </c>
      <c r="N166" s="83">
        <v>0</v>
      </c>
      <c r="O166" s="82">
        <v>0</v>
      </c>
    </row>
    <row r="167" spans="1:15">
      <c r="A167" s="45">
        <v>48</v>
      </c>
      <c r="B167" s="14"/>
      <c r="C167" s="14"/>
      <c r="D167" s="46" t="s">
        <v>227</v>
      </c>
      <c r="E167" s="24"/>
      <c r="F167" s="71"/>
      <c r="G167" s="24"/>
      <c r="H167" s="16"/>
      <c r="I167" s="16"/>
      <c r="J167" s="41"/>
      <c r="K167" s="69"/>
      <c r="L167" s="83">
        <v>0</v>
      </c>
      <c r="M167" s="82">
        <v>0</v>
      </c>
      <c r="N167" s="83">
        <v>347</v>
      </c>
      <c r="O167" s="82">
        <v>446</v>
      </c>
    </row>
    <row r="168" spans="1:15">
      <c r="A168" s="45">
        <v>49</v>
      </c>
      <c r="B168" s="14"/>
      <c r="C168" s="14"/>
      <c r="D168" s="46" t="s">
        <v>228</v>
      </c>
      <c r="E168" s="24"/>
      <c r="F168" s="71"/>
      <c r="G168" s="24"/>
      <c r="H168" s="24"/>
      <c r="I168" s="16"/>
      <c r="J168" s="117"/>
      <c r="K168" s="69"/>
      <c r="L168" s="84">
        <v>0</v>
      </c>
      <c r="M168" s="84">
        <v>0</v>
      </c>
      <c r="N168" s="84">
        <v>53</v>
      </c>
      <c r="O168" s="84">
        <v>3</v>
      </c>
    </row>
    <row r="169" spans="1:15">
      <c r="A169" s="45">
        <v>50</v>
      </c>
      <c r="B169" s="14"/>
      <c r="C169" s="14"/>
      <c r="D169" s="46" t="s">
        <v>229</v>
      </c>
      <c r="E169" s="24"/>
      <c r="F169" s="71"/>
      <c r="G169" s="24"/>
      <c r="H169" s="24"/>
      <c r="I169" s="16"/>
      <c r="J169" s="116"/>
      <c r="K169" s="70"/>
      <c r="L169" s="84">
        <v>0</v>
      </c>
      <c r="M169" s="84">
        <v>0</v>
      </c>
      <c r="N169" s="84">
        <v>870</v>
      </c>
      <c r="O169" s="84">
        <v>0</v>
      </c>
    </row>
    <row r="170" spans="1:15">
      <c r="A170" s="45">
        <v>51</v>
      </c>
      <c r="B170" s="14"/>
      <c r="C170" s="14"/>
      <c r="D170" s="46" t="s">
        <v>230</v>
      </c>
      <c r="E170" s="24"/>
      <c r="F170" s="71"/>
      <c r="G170" s="24"/>
      <c r="H170" s="24"/>
      <c r="I170" s="16"/>
      <c r="J170" s="116"/>
      <c r="K170" s="70"/>
      <c r="L170" s="84">
        <v>0</v>
      </c>
      <c r="M170" s="84">
        <v>0</v>
      </c>
      <c r="N170" s="84">
        <v>7116</v>
      </c>
      <c r="O170" s="84">
        <v>0</v>
      </c>
    </row>
    <row r="171" spans="1:15">
      <c r="A171" s="45">
        <v>52</v>
      </c>
      <c r="B171" s="14"/>
      <c r="C171" s="14"/>
      <c r="D171" s="46" t="s">
        <v>231</v>
      </c>
      <c r="E171" s="24"/>
      <c r="F171" s="71"/>
      <c r="G171" s="24"/>
      <c r="H171" s="24"/>
      <c r="I171" s="16"/>
      <c r="J171" s="116"/>
      <c r="K171" s="70"/>
      <c r="L171" s="84">
        <v>0</v>
      </c>
      <c r="M171" s="84">
        <v>0</v>
      </c>
      <c r="N171" s="84">
        <v>215</v>
      </c>
      <c r="O171" s="84">
        <v>0</v>
      </c>
    </row>
    <row r="172" spans="1:15">
      <c r="A172" s="45">
        <v>53</v>
      </c>
      <c r="B172" s="14"/>
      <c r="C172" s="14"/>
      <c r="D172" s="46" t="s">
        <v>232</v>
      </c>
      <c r="E172" s="24"/>
      <c r="F172" s="71"/>
      <c r="G172" s="24"/>
      <c r="H172" s="24"/>
      <c r="I172" s="16"/>
      <c r="J172" s="116"/>
      <c r="K172" s="70"/>
      <c r="L172" s="84">
        <v>0</v>
      </c>
      <c r="M172" s="84">
        <v>0</v>
      </c>
      <c r="N172" s="84">
        <v>100</v>
      </c>
      <c r="O172" s="84">
        <v>0</v>
      </c>
    </row>
    <row r="173" spans="1:15">
      <c r="A173" s="45">
        <v>54</v>
      </c>
      <c r="B173" s="14"/>
      <c r="C173" s="14"/>
      <c r="D173" s="46" t="s">
        <v>233</v>
      </c>
      <c r="E173" s="24"/>
      <c r="F173" s="71"/>
      <c r="G173" s="24"/>
      <c r="H173" s="24"/>
      <c r="I173" s="16"/>
      <c r="J173" s="116"/>
      <c r="K173" s="70"/>
      <c r="L173" s="84">
        <v>0</v>
      </c>
      <c r="M173" s="84">
        <v>0</v>
      </c>
      <c r="N173" s="84">
        <v>4725</v>
      </c>
      <c r="O173" s="84">
        <v>0</v>
      </c>
    </row>
    <row r="174" spans="1:15">
      <c r="A174" s="45">
        <v>55</v>
      </c>
      <c r="B174" s="14"/>
      <c r="C174" s="14"/>
      <c r="D174" s="46" t="s">
        <v>234</v>
      </c>
      <c r="E174" s="24"/>
      <c r="F174" s="71"/>
      <c r="G174" s="24"/>
      <c r="H174" s="16"/>
      <c r="I174" s="16"/>
      <c r="J174" s="41"/>
      <c r="K174" s="69"/>
      <c r="L174" s="84">
        <v>0</v>
      </c>
      <c r="M174" s="84">
        <v>0</v>
      </c>
      <c r="N174" s="84">
        <v>740</v>
      </c>
      <c r="O174" s="84">
        <v>200</v>
      </c>
    </row>
    <row r="175" spans="1:15">
      <c r="A175" s="45">
        <v>56</v>
      </c>
      <c r="B175" s="14"/>
      <c r="C175" s="14"/>
      <c r="D175" s="46" t="s">
        <v>235</v>
      </c>
      <c r="E175" s="24"/>
      <c r="F175" s="71"/>
      <c r="G175" s="24"/>
      <c r="H175" s="16"/>
      <c r="I175" s="16"/>
      <c r="J175" s="41"/>
      <c r="K175" s="69"/>
      <c r="L175" s="84">
        <v>0</v>
      </c>
      <c r="M175" s="84">
        <v>0</v>
      </c>
      <c r="N175" s="84">
        <v>2452</v>
      </c>
      <c r="O175" s="84">
        <v>53</v>
      </c>
    </row>
    <row r="176" spans="1:15">
      <c r="A176" s="47" t="s">
        <v>144</v>
      </c>
      <c r="B176" s="28"/>
      <c r="C176" s="29" t="s">
        <v>27</v>
      </c>
      <c r="D176" s="33"/>
      <c r="E176" s="30">
        <f>SUM(E121:E164)</f>
        <v>694704</v>
      </c>
      <c r="F176" s="68">
        <f>SUM(F121:F164)</f>
        <v>698494</v>
      </c>
      <c r="G176" s="30">
        <f>SUM(G121:G164)</f>
        <v>954730</v>
      </c>
      <c r="H176" s="30">
        <f t="shared" ref="H176:O176" si="15">SUM(H121:H175)</f>
        <v>610703</v>
      </c>
      <c r="I176" s="30">
        <f t="shared" si="15"/>
        <v>393107</v>
      </c>
      <c r="J176" s="115">
        <f t="shared" si="15"/>
        <v>429040</v>
      </c>
      <c r="K176" s="68">
        <f t="shared" si="15"/>
        <v>212202</v>
      </c>
      <c r="L176" s="68">
        <f t="shared" si="15"/>
        <v>73462</v>
      </c>
      <c r="M176" s="30">
        <f t="shared" si="15"/>
        <v>48030</v>
      </c>
      <c r="N176" s="68">
        <f t="shared" si="15"/>
        <v>62474</v>
      </c>
      <c r="O176" s="30">
        <f t="shared" si="15"/>
        <v>1203</v>
      </c>
    </row>
    <row r="177" spans="1:15">
      <c r="A177" s="45">
        <v>1</v>
      </c>
      <c r="B177" s="20"/>
      <c r="C177" s="2" t="s">
        <v>145</v>
      </c>
      <c r="D177" s="31"/>
      <c r="E177" s="16"/>
      <c r="F177" s="69"/>
      <c r="G177" s="16"/>
      <c r="H177" s="16"/>
      <c r="I177" s="16"/>
      <c r="J177" s="41"/>
      <c r="K177" s="69"/>
      <c r="L177" s="83"/>
      <c r="M177" s="82"/>
      <c r="N177" s="83"/>
      <c r="O177" s="82"/>
    </row>
    <row r="178" spans="1:15">
      <c r="A178" s="45">
        <v>2</v>
      </c>
      <c r="B178" s="20"/>
      <c r="C178" s="2"/>
      <c r="D178" s="15" t="s">
        <v>146</v>
      </c>
      <c r="E178" s="16">
        <v>2105</v>
      </c>
      <c r="F178" s="69">
        <v>2697</v>
      </c>
      <c r="G178" s="16">
        <v>7939</v>
      </c>
      <c r="H178" s="16">
        <v>4749</v>
      </c>
      <c r="I178" s="16">
        <v>4132</v>
      </c>
      <c r="J178" s="41">
        <v>5305</v>
      </c>
      <c r="K178" s="69">
        <v>3844</v>
      </c>
      <c r="L178" s="83">
        <v>2984</v>
      </c>
      <c r="M178" s="82">
        <v>709</v>
      </c>
      <c r="N178" s="83">
        <v>4879</v>
      </c>
      <c r="O178" s="82">
        <v>574</v>
      </c>
    </row>
    <row r="179" spans="1:15">
      <c r="A179" s="45">
        <v>3</v>
      </c>
      <c r="B179" s="20"/>
      <c r="C179" s="2"/>
      <c r="D179" s="15" t="s">
        <v>147</v>
      </c>
      <c r="E179" s="16">
        <v>3736</v>
      </c>
      <c r="F179" s="69">
        <v>8879</v>
      </c>
      <c r="G179" s="16">
        <v>9493</v>
      </c>
      <c r="H179" s="16">
        <v>4818</v>
      </c>
      <c r="I179" s="16">
        <v>4224</v>
      </c>
      <c r="J179" s="41">
        <v>4279</v>
      </c>
      <c r="K179" s="69">
        <v>8556</v>
      </c>
      <c r="L179" s="83">
        <v>559</v>
      </c>
      <c r="M179" s="82">
        <v>205</v>
      </c>
      <c r="N179" s="83">
        <v>125</v>
      </c>
      <c r="O179" s="82">
        <v>58</v>
      </c>
    </row>
    <row r="180" spans="1:15">
      <c r="A180" s="45">
        <v>4</v>
      </c>
      <c r="B180" s="20"/>
      <c r="C180" s="2"/>
      <c r="D180" s="15" t="s">
        <v>148</v>
      </c>
      <c r="E180" s="16">
        <v>10069</v>
      </c>
      <c r="F180" s="69">
        <v>10144</v>
      </c>
      <c r="G180" s="16">
        <v>21878</v>
      </c>
      <c r="H180" s="16">
        <v>12259</v>
      </c>
      <c r="I180" s="16">
        <v>3883</v>
      </c>
      <c r="J180" s="41">
        <v>16406</v>
      </c>
      <c r="K180" s="69">
        <v>3603</v>
      </c>
      <c r="L180" s="83">
        <v>1044</v>
      </c>
      <c r="M180" s="82">
        <v>103</v>
      </c>
      <c r="N180" s="83">
        <v>11</v>
      </c>
      <c r="O180" s="82">
        <v>19</v>
      </c>
    </row>
    <row r="181" spans="1:15">
      <c r="A181" s="45">
        <v>5</v>
      </c>
      <c r="B181" s="20"/>
      <c r="C181" s="2"/>
      <c r="D181" s="15" t="s">
        <v>149</v>
      </c>
      <c r="E181" s="16">
        <v>25418</v>
      </c>
      <c r="F181" s="69">
        <v>30044</v>
      </c>
      <c r="G181" s="16">
        <v>18446</v>
      </c>
      <c r="H181" s="16">
        <v>26930</v>
      </c>
      <c r="I181" s="16">
        <v>91</v>
      </c>
      <c r="J181" s="41">
        <v>6135</v>
      </c>
      <c r="K181" s="69">
        <v>176</v>
      </c>
      <c r="L181" s="83">
        <v>1148</v>
      </c>
      <c r="M181" s="84" t="s">
        <v>17</v>
      </c>
      <c r="N181" s="83">
        <v>8826</v>
      </c>
      <c r="O181" s="84">
        <v>6</v>
      </c>
    </row>
    <row r="182" spans="1:15">
      <c r="A182" s="45">
        <v>6</v>
      </c>
      <c r="B182" s="20"/>
      <c r="C182" s="2"/>
      <c r="D182" s="15" t="s">
        <v>150</v>
      </c>
      <c r="E182" s="16">
        <v>27606</v>
      </c>
      <c r="F182" s="69">
        <v>27266</v>
      </c>
      <c r="G182" s="16">
        <v>27390</v>
      </c>
      <c r="H182" s="16">
        <v>29472</v>
      </c>
      <c r="I182" s="16">
        <v>290</v>
      </c>
      <c r="J182" s="41">
        <v>40088</v>
      </c>
      <c r="K182" s="69">
        <v>40</v>
      </c>
      <c r="L182" s="83">
        <v>11868</v>
      </c>
      <c r="M182" s="84" t="s">
        <v>17</v>
      </c>
      <c r="N182" s="83">
        <v>23165</v>
      </c>
      <c r="O182" s="84">
        <v>0</v>
      </c>
    </row>
    <row r="183" spans="1:15">
      <c r="A183" s="45">
        <v>7</v>
      </c>
      <c r="B183" s="20"/>
      <c r="C183" s="2"/>
      <c r="D183" s="15" t="s">
        <v>151</v>
      </c>
      <c r="E183" s="16">
        <v>3279</v>
      </c>
      <c r="F183" s="69">
        <v>4798</v>
      </c>
      <c r="G183" s="16">
        <v>2154</v>
      </c>
      <c r="H183" s="16">
        <v>655</v>
      </c>
      <c r="I183" s="16">
        <v>67</v>
      </c>
      <c r="J183" s="41">
        <v>810</v>
      </c>
      <c r="K183" s="69">
        <v>94</v>
      </c>
      <c r="L183" s="83">
        <v>1644</v>
      </c>
      <c r="M183" s="84" t="s">
        <v>17</v>
      </c>
      <c r="N183" s="83">
        <v>1673</v>
      </c>
      <c r="O183" s="84">
        <v>1</v>
      </c>
    </row>
    <row r="184" spans="1:15">
      <c r="A184" s="45">
        <v>8</v>
      </c>
      <c r="B184" s="20"/>
      <c r="C184" s="2"/>
      <c r="D184" s="15" t="s">
        <v>152</v>
      </c>
      <c r="E184" s="16">
        <v>3206</v>
      </c>
      <c r="F184" s="69">
        <v>7329</v>
      </c>
      <c r="G184" s="26" t="s">
        <v>17</v>
      </c>
      <c r="H184" s="26" t="s">
        <v>17</v>
      </c>
      <c r="I184" s="26" t="s">
        <v>17</v>
      </c>
      <c r="J184" s="116" t="s">
        <v>17</v>
      </c>
      <c r="K184" s="70" t="s">
        <v>17</v>
      </c>
      <c r="L184" s="84" t="s">
        <v>17</v>
      </c>
      <c r="M184" s="84" t="s">
        <v>17</v>
      </c>
      <c r="N184" s="84">
        <v>0</v>
      </c>
      <c r="O184" s="84">
        <v>0</v>
      </c>
    </row>
    <row r="185" spans="1:15">
      <c r="A185" s="45">
        <v>9</v>
      </c>
      <c r="B185" s="20"/>
      <c r="C185" s="2"/>
      <c r="D185" s="15" t="s">
        <v>153</v>
      </c>
      <c r="E185" s="26" t="s">
        <v>17</v>
      </c>
      <c r="F185" s="70" t="s">
        <v>17</v>
      </c>
      <c r="G185" s="16">
        <v>28926</v>
      </c>
      <c r="H185" s="16">
        <v>38311</v>
      </c>
      <c r="I185" s="16">
        <v>1068</v>
      </c>
      <c r="J185" s="41">
        <v>59895</v>
      </c>
      <c r="K185" s="69">
        <v>832</v>
      </c>
      <c r="L185" s="83">
        <v>6552</v>
      </c>
      <c r="M185" s="82">
        <v>88</v>
      </c>
      <c r="N185" s="83">
        <v>33355</v>
      </c>
      <c r="O185" s="82">
        <v>21</v>
      </c>
    </row>
    <row r="186" spans="1:15">
      <c r="A186" s="45">
        <v>10</v>
      </c>
      <c r="B186" s="20"/>
      <c r="C186" s="2"/>
      <c r="D186" s="15" t="s">
        <v>154</v>
      </c>
      <c r="E186" s="16">
        <v>1161</v>
      </c>
      <c r="F186" s="69">
        <v>2176</v>
      </c>
      <c r="G186" s="16">
        <v>1821</v>
      </c>
      <c r="H186" s="26" t="s">
        <v>17</v>
      </c>
      <c r="I186" s="26" t="s">
        <v>17</v>
      </c>
      <c r="J186" s="116" t="s">
        <v>17</v>
      </c>
      <c r="K186" s="70" t="s">
        <v>17</v>
      </c>
      <c r="L186" s="84" t="s">
        <v>17</v>
      </c>
      <c r="M186" s="84" t="s">
        <v>17</v>
      </c>
      <c r="N186" s="84">
        <v>0</v>
      </c>
      <c r="O186" s="84">
        <v>0</v>
      </c>
    </row>
    <row r="187" spans="1:15">
      <c r="A187" s="45">
        <v>11</v>
      </c>
      <c r="B187" s="20"/>
      <c r="C187" s="2"/>
      <c r="D187" s="48" t="s">
        <v>155</v>
      </c>
      <c r="E187" s="16">
        <v>5984</v>
      </c>
      <c r="F187" s="69">
        <v>2807</v>
      </c>
      <c r="G187" s="16">
        <v>5340</v>
      </c>
      <c r="H187" s="16">
        <v>2683</v>
      </c>
      <c r="I187" s="16">
        <v>53</v>
      </c>
      <c r="J187" s="41">
        <v>3827</v>
      </c>
      <c r="K187" s="69">
        <v>84</v>
      </c>
      <c r="L187" s="83">
        <v>97</v>
      </c>
      <c r="M187" s="84" t="s">
        <v>17</v>
      </c>
      <c r="N187" s="83">
        <v>262</v>
      </c>
      <c r="O187" s="84">
        <v>3</v>
      </c>
    </row>
    <row r="188" spans="1:15">
      <c r="A188" s="45">
        <v>12</v>
      </c>
      <c r="B188" s="20"/>
      <c r="C188" s="2"/>
      <c r="D188" s="15" t="s">
        <v>156</v>
      </c>
      <c r="E188" s="16">
        <v>2623</v>
      </c>
      <c r="F188" s="69">
        <v>5293</v>
      </c>
      <c r="G188" s="26" t="s">
        <v>17</v>
      </c>
      <c r="H188" s="26" t="s">
        <v>17</v>
      </c>
      <c r="I188" s="26" t="s">
        <v>17</v>
      </c>
      <c r="J188" s="116" t="s">
        <v>17</v>
      </c>
      <c r="K188" s="70" t="s">
        <v>17</v>
      </c>
      <c r="L188" s="84" t="s">
        <v>17</v>
      </c>
      <c r="M188" s="84" t="s">
        <v>17</v>
      </c>
      <c r="N188" s="84">
        <v>0</v>
      </c>
      <c r="O188" s="84">
        <v>0</v>
      </c>
    </row>
    <row r="189" spans="1:15">
      <c r="A189" s="45">
        <v>13</v>
      </c>
      <c r="B189" s="20"/>
      <c r="C189" s="2"/>
      <c r="D189" s="15" t="s">
        <v>157</v>
      </c>
      <c r="E189" s="26" t="s">
        <v>17</v>
      </c>
      <c r="F189" s="70" t="s">
        <v>17</v>
      </c>
      <c r="G189" s="16">
        <v>12566</v>
      </c>
      <c r="H189" s="16">
        <v>34040</v>
      </c>
      <c r="I189" s="16">
        <v>2706</v>
      </c>
      <c r="J189" s="41">
        <v>4724</v>
      </c>
      <c r="K189" s="69">
        <v>1471</v>
      </c>
      <c r="L189" s="83">
        <v>3606</v>
      </c>
      <c r="M189" s="82">
        <v>126</v>
      </c>
      <c r="N189" s="83">
        <v>10880</v>
      </c>
      <c r="O189" s="82">
        <v>160</v>
      </c>
    </row>
    <row r="190" spans="1:15">
      <c r="A190" s="45">
        <v>14</v>
      </c>
      <c r="B190" s="20"/>
      <c r="C190" s="2"/>
      <c r="D190" s="15" t="s">
        <v>158</v>
      </c>
      <c r="E190" s="16">
        <v>2553</v>
      </c>
      <c r="F190" s="69">
        <v>8771</v>
      </c>
      <c r="G190" s="16">
        <v>5696</v>
      </c>
      <c r="H190" s="16">
        <v>4289</v>
      </c>
      <c r="I190" s="16">
        <v>206</v>
      </c>
      <c r="J190" s="41">
        <v>13155</v>
      </c>
      <c r="K190" s="69">
        <v>164</v>
      </c>
      <c r="L190" s="83">
        <v>3271</v>
      </c>
      <c r="M190" s="82">
        <v>54</v>
      </c>
      <c r="N190" s="83">
        <v>6205</v>
      </c>
      <c r="O190" s="82">
        <v>0</v>
      </c>
    </row>
    <row r="191" spans="1:15">
      <c r="A191" s="45">
        <v>15</v>
      </c>
      <c r="B191" s="20"/>
      <c r="C191" s="2"/>
      <c r="D191" s="15" t="s">
        <v>159</v>
      </c>
      <c r="E191" s="16">
        <v>3774</v>
      </c>
      <c r="F191" s="69">
        <v>17396</v>
      </c>
      <c r="G191" s="26" t="s">
        <v>17</v>
      </c>
      <c r="H191" s="26" t="s">
        <v>17</v>
      </c>
      <c r="I191" s="26" t="s">
        <v>17</v>
      </c>
      <c r="J191" s="116" t="s">
        <v>17</v>
      </c>
      <c r="K191" s="70" t="s">
        <v>17</v>
      </c>
      <c r="L191" s="84" t="s">
        <v>17</v>
      </c>
      <c r="M191" s="84" t="s">
        <v>17</v>
      </c>
      <c r="N191" s="84">
        <v>0</v>
      </c>
      <c r="O191" s="84">
        <v>0</v>
      </c>
    </row>
    <row r="192" spans="1:15">
      <c r="A192" s="45">
        <v>16</v>
      </c>
      <c r="B192" s="20"/>
      <c r="C192" s="2"/>
      <c r="D192" s="15" t="s">
        <v>160</v>
      </c>
      <c r="E192" s="16">
        <v>14903</v>
      </c>
      <c r="F192" s="69">
        <v>12529</v>
      </c>
      <c r="G192" s="16">
        <v>5943</v>
      </c>
      <c r="H192" s="26" t="s">
        <v>17</v>
      </c>
      <c r="I192" s="26" t="s">
        <v>17</v>
      </c>
      <c r="J192" s="116" t="s">
        <v>17</v>
      </c>
      <c r="K192" s="70" t="s">
        <v>17</v>
      </c>
      <c r="L192" s="84" t="s">
        <v>17</v>
      </c>
      <c r="M192" s="84" t="s">
        <v>17</v>
      </c>
      <c r="N192" s="84">
        <v>0</v>
      </c>
      <c r="O192" s="84">
        <v>0</v>
      </c>
    </row>
    <row r="193" spans="1:15">
      <c r="A193" s="45">
        <v>17</v>
      </c>
      <c r="B193" s="20"/>
      <c r="C193" s="2"/>
      <c r="D193" s="46" t="s">
        <v>161</v>
      </c>
      <c r="E193" s="26" t="s">
        <v>17</v>
      </c>
      <c r="F193" s="70" t="s">
        <v>17</v>
      </c>
      <c r="G193" s="16">
        <v>3573</v>
      </c>
      <c r="H193" s="16">
        <v>1125</v>
      </c>
      <c r="I193" s="16">
        <v>535</v>
      </c>
      <c r="J193" s="41">
        <v>854</v>
      </c>
      <c r="K193" s="69">
        <v>340</v>
      </c>
      <c r="L193" s="83">
        <v>1463</v>
      </c>
      <c r="M193" s="82">
        <v>32</v>
      </c>
      <c r="N193" s="83">
        <v>927</v>
      </c>
      <c r="O193" s="82">
        <v>0</v>
      </c>
    </row>
    <row r="194" spans="1:15">
      <c r="A194" s="45">
        <v>18</v>
      </c>
      <c r="B194" s="20"/>
      <c r="C194" s="2"/>
      <c r="D194" s="46" t="s">
        <v>162</v>
      </c>
      <c r="E194" s="16">
        <v>11760</v>
      </c>
      <c r="F194" s="69">
        <v>7054</v>
      </c>
      <c r="G194" s="16">
        <v>3506</v>
      </c>
      <c r="H194" s="16">
        <v>2425</v>
      </c>
      <c r="I194" s="16">
        <v>381</v>
      </c>
      <c r="J194" s="116" t="s">
        <v>17</v>
      </c>
      <c r="K194" s="70" t="s">
        <v>17</v>
      </c>
      <c r="L194" s="83">
        <v>686</v>
      </c>
      <c r="M194" s="82">
        <v>50</v>
      </c>
      <c r="N194" s="83">
        <v>103</v>
      </c>
      <c r="O194" s="82">
        <v>0</v>
      </c>
    </row>
    <row r="195" spans="1:15" ht="13.5" customHeight="1">
      <c r="A195" s="45">
        <v>19</v>
      </c>
      <c r="B195" s="20"/>
      <c r="C195" s="2"/>
      <c r="D195" s="46" t="s">
        <v>163</v>
      </c>
      <c r="E195" s="16">
        <v>9262</v>
      </c>
      <c r="F195" s="69">
        <v>12246</v>
      </c>
      <c r="G195" s="16">
        <v>3790</v>
      </c>
      <c r="H195" s="16">
        <v>5696</v>
      </c>
      <c r="I195" s="16">
        <v>1390</v>
      </c>
      <c r="J195" s="41">
        <v>8223</v>
      </c>
      <c r="K195" s="69">
        <v>2016</v>
      </c>
      <c r="L195" s="83">
        <v>1175</v>
      </c>
      <c r="M195" s="82">
        <v>43</v>
      </c>
      <c r="N195" s="83">
        <v>708</v>
      </c>
      <c r="O195" s="82">
        <v>0</v>
      </c>
    </row>
    <row r="196" spans="1:15" ht="13.5" customHeight="1">
      <c r="A196" s="45">
        <v>21</v>
      </c>
      <c r="B196" s="20"/>
      <c r="C196" s="2"/>
      <c r="D196" s="46" t="s">
        <v>164</v>
      </c>
      <c r="E196" s="26">
        <v>21137</v>
      </c>
      <c r="F196" s="69">
        <v>15329</v>
      </c>
      <c r="G196" s="16">
        <v>3558</v>
      </c>
      <c r="H196" s="16">
        <v>1868</v>
      </c>
      <c r="I196" s="16">
        <v>86</v>
      </c>
      <c r="J196" s="41">
        <v>1831</v>
      </c>
      <c r="K196" s="69">
        <v>68</v>
      </c>
      <c r="L196" s="83">
        <v>2497</v>
      </c>
      <c r="M196" s="82">
        <v>0</v>
      </c>
      <c r="N196" s="83">
        <v>5144</v>
      </c>
      <c r="O196" s="82">
        <v>16</v>
      </c>
    </row>
    <row r="197" spans="1:15" ht="13.5" customHeight="1">
      <c r="A197" s="45">
        <v>22</v>
      </c>
      <c r="B197" s="20"/>
      <c r="C197" s="2"/>
      <c r="D197" s="46" t="s">
        <v>165</v>
      </c>
      <c r="E197" s="26" t="s">
        <v>17</v>
      </c>
      <c r="F197" s="70" t="s">
        <v>17</v>
      </c>
      <c r="G197" s="16">
        <v>22664</v>
      </c>
      <c r="H197" s="16">
        <v>27732</v>
      </c>
      <c r="I197" s="16">
        <v>2520</v>
      </c>
      <c r="J197" s="41">
        <v>39517</v>
      </c>
      <c r="K197" s="69">
        <v>818</v>
      </c>
      <c r="L197" s="83">
        <v>33941</v>
      </c>
      <c r="M197" s="82">
        <v>232</v>
      </c>
      <c r="N197" s="83">
        <v>16585</v>
      </c>
      <c r="O197" s="82">
        <v>23</v>
      </c>
    </row>
    <row r="198" spans="1:15" ht="13.5" customHeight="1">
      <c r="A198" s="45">
        <v>23</v>
      </c>
      <c r="B198" s="20"/>
      <c r="C198" s="2"/>
      <c r="D198" s="46" t="s">
        <v>166</v>
      </c>
      <c r="E198" s="26">
        <v>7671</v>
      </c>
      <c r="F198" s="69">
        <v>5756</v>
      </c>
      <c r="G198" s="16">
        <v>5192</v>
      </c>
      <c r="H198" s="16">
        <v>1094</v>
      </c>
      <c r="I198" s="16">
        <v>832</v>
      </c>
      <c r="J198" s="41">
        <v>2661</v>
      </c>
      <c r="K198" s="69">
        <v>1435</v>
      </c>
      <c r="L198" s="83">
        <v>2077</v>
      </c>
      <c r="M198" s="82">
        <v>359</v>
      </c>
      <c r="N198" s="83">
        <v>1834</v>
      </c>
      <c r="O198" s="82">
        <v>61</v>
      </c>
    </row>
    <row r="199" spans="1:15" ht="13.5" customHeight="1">
      <c r="A199" s="45">
        <v>24</v>
      </c>
      <c r="B199" s="20"/>
      <c r="C199" s="2"/>
      <c r="D199" s="46" t="s">
        <v>167</v>
      </c>
      <c r="E199" s="26" t="s">
        <v>17</v>
      </c>
      <c r="F199" s="70" t="s">
        <v>17</v>
      </c>
      <c r="G199" s="16">
        <v>36229</v>
      </c>
      <c r="H199" s="16">
        <v>13375</v>
      </c>
      <c r="I199" s="16">
        <v>322</v>
      </c>
      <c r="J199" s="41">
        <v>856</v>
      </c>
      <c r="K199" s="69">
        <v>780</v>
      </c>
      <c r="L199" s="83">
        <v>235</v>
      </c>
      <c r="M199" s="84" t="s">
        <v>17</v>
      </c>
      <c r="N199" s="83">
        <v>7</v>
      </c>
      <c r="O199" s="84">
        <v>0</v>
      </c>
    </row>
    <row r="200" spans="1:15" ht="13.5" customHeight="1">
      <c r="A200" s="45">
        <v>25</v>
      </c>
      <c r="B200" s="20"/>
      <c r="C200" s="2"/>
      <c r="D200" s="46" t="s">
        <v>168</v>
      </c>
      <c r="E200" s="26" t="s">
        <v>17</v>
      </c>
      <c r="F200" s="70" t="s">
        <v>17</v>
      </c>
      <c r="G200" s="16">
        <v>4914</v>
      </c>
      <c r="H200" s="26" t="s">
        <v>17</v>
      </c>
      <c r="I200" s="26" t="s">
        <v>17</v>
      </c>
      <c r="J200" s="116" t="s">
        <v>17</v>
      </c>
      <c r="K200" s="70" t="s">
        <v>17</v>
      </c>
      <c r="L200" s="84" t="s">
        <v>17</v>
      </c>
      <c r="M200" s="84" t="s">
        <v>17</v>
      </c>
      <c r="N200" s="84">
        <v>0</v>
      </c>
      <c r="O200" s="84">
        <v>0</v>
      </c>
    </row>
    <row r="201" spans="1:15" ht="13.5" customHeight="1">
      <c r="A201" s="45">
        <v>26</v>
      </c>
      <c r="B201" s="20"/>
      <c r="C201" s="2"/>
      <c r="D201" s="46" t="s">
        <v>169</v>
      </c>
      <c r="E201" s="26" t="s">
        <v>17</v>
      </c>
      <c r="F201" s="70" t="s">
        <v>17</v>
      </c>
      <c r="G201" s="16">
        <v>30041</v>
      </c>
      <c r="H201" s="16">
        <v>8454</v>
      </c>
      <c r="I201" s="16">
        <v>50</v>
      </c>
      <c r="J201" s="41">
        <v>1470</v>
      </c>
      <c r="K201" s="70" t="s">
        <v>17</v>
      </c>
      <c r="L201" s="83">
        <v>114</v>
      </c>
      <c r="M201" s="82">
        <v>0</v>
      </c>
      <c r="N201" s="83">
        <v>1430</v>
      </c>
      <c r="O201" s="82">
        <v>8</v>
      </c>
    </row>
    <row r="202" spans="1:15" ht="13.5" customHeight="1">
      <c r="A202" s="45">
        <v>27</v>
      </c>
      <c r="B202" s="20"/>
      <c r="C202" s="2"/>
      <c r="D202" s="46" t="s">
        <v>170</v>
      </c>
      <c r="E202" s="26" t="s">
        <v>17</v>
      </c>
      <c r="F202" s="70" t="s">
        <v>17</v>
      </c>
      <c r="G202" s="16">
        <v>7416</v>
      </c>
      <c r="H202" s="16">
        <v>6433</v>
      </c>
      <c r="I202" s="16">
        <v>341</v>
      </c>
      <c r="J202" s="41">
        <v>2415</v>
      </c>
      <c r="K202" s="69">
        <v>233</v>
      </c>
      <c r="L202" s="83">
        <v>5690</v>
      </c>
      <c r="M202" s="82">
        <v>74</v>
      </c>
      <c r="N202" s="83">
        <v>8826</v>
      </c>
      <c r="O202" s="82">
        <v>218</v>
      </c>
    </row>
    <row r="203" spans="1:15" ht="13.5" customHeight="1">
      <c r="A203" s="45">
        <v>28</v>
      </c>
      <c r="B203" s="20"/>
      <c r="C203" s="2"/>
      <c r="D203" s="46" t="s">
        <v>171</v>
      </c>
      <c r="E203" s="26" t="s">
        <v>17</v>
      </c>
      <c r="F203" s="70" t="s">
        <v>17</v>
      </c>
      <c r="G203" s="16">
        <v>6658</v>
      </c>
      <c r="H203" s="16">
        <v>5844</v>
      </c>
      <c r="I203" s="16">
        <v>637</v>
      </c>
      <c r="J203" s="41">
        <v>5671</v>
      </c>
      <c r="K203" s="69">
        <v>727</v>
      </c>
      <c r="L203" s="83">
        <v>114</v>
      </c>
      <c r="M203" s="84" t="s">
        <v>17</v>
      </c>
      <c r="N203" s="83">
        <v>4551</v>
      </c>
      <c r="O203" s="84">
        <v>181</v>
      </c>
    </row>
    <row r="204" spans="1:15" ht="13.5" customHeight="1">
      <c r="A204" s="45">
        <v>29</v>
      </c>
      <c r="B204" s="20"/>
      <c r="C204" s="2"/>
      <c r="D204" s="46" t="s">
        <v>172</v>
      </c>
      <c r="E204" s="26" t="s">
        <v>17</v>
      </c>
      <c r="F204" s="70" t="s">
        <v>17</v>
      </c>
      <c r="G204" s="16">
        <v>5393</v>
      </c>
      <c r="H204" s="16">
        <v>2086</v>
      </c>
      <c r="I204" s="16">
        <v>26</v>
      </c>
      <c r="J204" s="41">
        <v>4605</v>
      </c>
      <c r="K204" s="69">
        <v>108</v>
      </c>
      <c r="L204" s="83">
        <v>171</v>
      </c>
      <c r="M204" s="84" t="s">
        <v>17</v>
      </c>
      <c r="N204" s="83">
        <v>133</v>
      </c>
      <c r="O204" s="84">
        <v>5</v>
      </c>
    </row>
    <row r="205" spans="1:15" ht="13.5" customHeight="1">
      <c r="A205" s="45">
        <v>30</v>
      </c>
      <c r="B205" s="20"/>
      <c r="C205" s="2"/>
      <c r="D205" s="46" t="s">
        <v>173</v>
      </c>
      <c r="E205" s="26" t="s">
        <v>17</v>
      </c>
      <c r="F205" s="70" t="s">
        <v>17</v>
      </c>
      <c r="G205" s="26" t="s">
        <v>17</v>
      </c>
      <c r="H205" s="16">
        <v>737</v>
      </c>
      <c r="I205" s="16">
        <v>173</v>
      </c>
      <c r="J205" s="41">
        <v>503</v>
      </c>
      <c r="K205" s="69">
        <v>163</v>
      </c>
      <c r="L205" s="83">
        <v>221</v>
      </c>
      <c r="M205" s="84" t="s">
        <v>17</v>
      </c>
      <c r="N205" s="83">
        <v>0</v>
      </c>
      <c r="O205" s="84">
        <v>0</v>
      </c>
    </row>
    <row r="206" spans="1:15" ht="13.5" customHeight="1">
      <c r="A206" s="45">
        <v>31</v>
      </c>
      <c r="B206" s="20"/>
      <c r="C206" s="2"/>
      <c r="D206" s="46" t="s">
        <v>174</v>
      </c>
      <c r="E206" s="26" t="s">
        <v>17</v>
      </c>
      <c r="F206" s="70" t="s">
        <v>17</v>
      </c>
      <c r="G206" s="26" t="s">
        <v>17</v>
      </c>
      <c r="H206" s="16">
        <v>3208</v>
      </c>
      <c r="I206" s="16">
        <v>2665</v>
      </c>
      <c r="J206" s="41">
        <v>2227</v>
      </c>
      <c r="K206" s="69">
        <v>3441</v>
      </c>
      <c r="L206" s="84" t="s">
        <v>17</v>
      </c>
      <c r="M206" s="84" t="s">
        <v>17</v>
      </c>
      <c r="N206" s="84">
        <v>0</v>
      </c>
      <c r="O206" s="84">
        <v>0</v>
      </c>
    </row>
    <row r="207" spans="1:15" ht="13.5" customHeight="1">
      <c r="A207" s="45">
        <v>32</v>
      </c>
      <c r="B207" s="20"/>
      <c r="C207" s="2"/>
      <c r="D207" s="46" t="s">
        <v>175</v>
      </c>
      <c r="E207" s="26" t="s">
        <v>17</v>
      </c>
      <c r="F207" s="70" t="s">
        <v>17</v>
      </c>
      <c r="G207" s="26" t="s">
        <v>17</v>
      </c>
      <c r="H207" s="26">
        <v>18081</v>
      </c>
      <c r="I207" s="26" t="s">
        <v>17</v>
      </c>
      <c r="J207" s="116">
        <v>22518</v>
      </c>
      <c r="K207" s="70" t="s">
        <v>17</v>
      </c>
      <c r="L207" s="84" t="s">
        <v>17</v>
      </c>
      <c r="M207" s="84" t="s">
        <v>17</v>
      </c>
      <c r="N207" s="84">
        <v>9374</v>
      </c>
      <c r="O207" s="84">
        <v>0</v>
      </c>
    </row>
    <row r="208" spans="1:15" ht="13.5" customHeight="1">
      <c r="A208" s="45">
        <v>33</v>
      </c>
      <c r="B208" s="20"/>
      <c r="C208" s="2"/>
      <c r="D208" s="46" t="s">
        <v>176</v>
      </c>
      <c r="E208" s="26" t="s">
        <v>17</v>
      </c>
      <c r="F208" s="70" t="s">
        <v>17</v>
      </c>
      <c r="G208" s="26" t="s">
        <v>17</v>
      </c>
      <c r="H208" s="26">
        <v>5313</v>
      </c>
      <c r="I208" s="16">
        <v>1013</v>
      </c>
      <c r="J208" s="116">
        <v>4392</v>
      </c>
      <c r="K208" s="69">
        <v>24</v>
      </c>
      <c r="L208" s="83">
        <v>127</v>
      </c>
      <c r="M208" s="84" t="s">
        <v>17</v>
      </c>
      <c r="N208" s="83">
        <v>215</v>
      </c>
      <c r="O208" s="84">
        <v>0</v>
      </c>
    </row>
    <row r="209" spans="1:15" ht="13.5" customHeight="1">
      <c r="A209" s="45">
        <v>34</v>
      </c>
      <c r="B209" s="20"/>
      <c r="C209" s="2"/>
      <c r="D209" s="46" t="s">
        <v>177</v>
      </c>
      <c r="E209" s="26" t="s">
        <v>17</v>
      </c>
      <c r="F209" s="70" t="s">
        <v>17</v>
      </c>
      <c r="G209" s="26" t="s">
        <v>17</v>
      </c>
      <c r="H209" s="26">
        <v>12408</v>
      </c>
      <c r="I209" s="16">
        <v>11</v>
      </c>
      <c r="J209" s="116" t="s">
        <v>17</v>
      </c>
      <c r="K209" s="70" t="s">
        <v>17</v>
      </c>
      <c r="L209" s="83">
        <v>607</v>
      </c>
      <c r="M209" s="84" t="s">
        <v>17</v>
      </c>
      <c r="N209" s="83">
        <v>2164</v>
      </c>
      <c r="O209" s="84">
        <v>0</v>
      </c>
    </row>
    <row r="210" spans="1:15" ht="13.5" customHeight="1">
      <c r="A210" s="45">
        <v>35</v>
      </c>
      <c r="B210" s="20"/>
      <c r="C210" s="2"/>
      <c r="D210" s="46" t="s">
        <v>178</v>
      </c>
      <c r="E210" s="26" t="s">
        <v>17</v>
      </c>
      <c r="F210" s="70" t="s">
        <v>17</v>
      </c>
      <c r="G210" s="26" t="s">
        <v>17</v>
      </c>
      <c r="H210" s="26">
        <v>4929</v>
      </c>
      <c r="I210" s="16">
        <v>93</v>
      </c>
      <c r="J210" s="116">
        <v>6128</v>
      </c>
      <c r="K210" s="69">
        <v>194</v>
      </c>
      <c r="L210" s="84" t="s">
        <v>17</v>
      </c>
      <c r="M210" s="84" t="s">
        <v>17</v>
      </c>
      <c r="N210" s="84">
        <v>0</v>
      </c>
      <c r="O210" s="84">
        <v>0</v>
      </c>
    </row>
    <row r="211" spans="1:15" ht="13.5" customHeight="1">
      <c r="A211" s="47">
        <v>36</v>
      </c>
      <c r="B211" s="20"/>
      <c r="C211" s="2"/>
      <c r="D211" s="46" t="s">
        <v>179</v>
      </c>
      <c r="E211" s="26" t="s">
        <v>17</v>
      </c>
      <c r="F211" s="70" t="s">
        <v>17</v>
      </c>
      <c r="G211" s="26" t="s">
        <v>17</v>
      </c>
      <c r="H211" s="26">
        <v>2583</v>
      </c>
      <c r="I211" s="16">
        <v>116</v>
      </c>
      <c r="J211" s="116">
        <v>4186</v>
      </c>
      <c r="K211" s="69">
        <v>59</v>
      </c>
      <c r="L211" s="84" t="s">
        <v>17</v>
      </c>
      <c r="M211" s="84" t="s">
        <v>17</v>
      </c>
      <c r="N211" s="84">
        <v>0</v>
      </c>
      <c r="O211" s="84">
        <v>0</v>
      </c>
    </row>
    <row r="212" spans="1:15" ht="13.5" customHeight="1">
      <c r="A212" s="45">
        <v>37</v>
      </c>
      <c r="B212" s="20"/>
      <c r="C212" s="2"/>
      <c r="D212" s="46" t="s">
        <v>236</v>
      </c>
      <c r="E212" s="26"/>
      <c r="F212" s="70"/>
      <c r="G212" s="26"/>
      <c r="H212" s="26"/>
      <c r="I212" s="26"/>
      <c r="J212" s="116"/>
      <c r="K212" s="70"/>
      <c r="L212" s="84"/>
      <c r="M212" s="84"/>
      <c r="N212" s="84">
        <v>25</v>
      </c>
      <c r="O212" s="84">
        <v>0</v>
      </c>
    </row>
    <row r="213" spans="1:15" ht="13.5" customHeight="1">
      <c r="A213" s="45">
        <v>38</v>
      </c>
      <c r="B213" s="20"/>
      <c r="C213" s="2"/>
      <c r="D213" s="46" t="s">
        <v>237</v>
      </c>
      <c r="E213" s="26"/>
      <c r="F213" s="70"/>
      <c r="G213" s="26"/>
      <c r="H213" s="26"/>
      <c r="I213" s="16"/>
      <c r="J213" s="116"/>
      <c r="K213" s="69"/>
      <c r="L213" s="83"/>
      <c r="M213" s="84"/>
      <c r="N213" s="83">
        <v>7996</v>
      </c>
      <c r="O213" s="84">
        <v>0</v>
      </c>
    </row>
    <row r="214" spans="1:15" ht="13.5" customHeight="1">
      <c r="A214" s="45">
        <v>39</v>
      </c>
      <c r="B214" s="20"/>
      <c r="C214" s="2"/>
      <c r="D214" s="46" t="s">
        <v>238</v>
      </c>
      <c r="E214" s="26"/>
      <c r="F214" s="70"/>
      <c r="G214" s="26"/>
      <c r="H214" s="26"/>
      <c r="I214" s="16"/>
      <c r="J214" s="116"/>
      <c r="K214" s="70"/>
      <c r="L214" s="83"/>
      <c r="M214" s="84"/>
      <c r="N214" s="83">
        <v>0</v>
      </c>
      <c r="O214" s="84">
        <v>0</v>
      </c>
    </row>
    <row r="215" spans="1:15" ht="13.5" customHeight="1">
      <c r="A215" s="45">
        <v>30</v>
      </c>
      <c r="B215" s="20"/>
      <c r="C215" s="2"/>
      <c r="D215" s="46" t="s">
        <v>239</v>
      </c>
      <c r="E215" s="26"/>
      <c r="F215" s="70"/>
      <c r="G215" s="26"/>
      <c r="H215" s="26"/>
      <c r="I215" s="16"/>
      <c r="J215" s="116"/>
      <c r="K215" s="69"/>
      <c r="L215" s="84"/>
      <c r="M215" s="84"/>
      <c r="N215" s="84">
        <v>218</v>
      </c>
      <c r="O215" s="84">
        <v>10</v>
      </c>
    </row>
    <row r="216" spans="1:15" ht="13.5" customHeight="1">
      <c r="A216" s="47">
        <v>41</v>
      </c>
      <c r="B216" s="20"/>
      <c r="C216" s="2"/>
      <c r="D216" s="46" t="s">
        <v>240</v>
      </c>
      <c r="E216" s="26"/>
      <c r="F216" s="70"/>
      <c r="G216" s="26"/>
      <c r="H216" s="26"/>
      <c r="I216" s="16"/>
      <c r="J216" s="116"/>
      <c r="K216" s="69"/>
      <c r="L216" s="84"/>
      <c r="M216" s="84"/>
      <c r="N216" s="84"/>
      <c r="O216" s="84"/>
    </row>
    <row r="217" spans="1:15" ht="13.5" customHeight="1">
      <c r="A217" s="47" t="s">
        <v>180</v>
      </c>
      <c r="B217" s="34"/>
      <c r="C217" s="29" t="s">
        <v>27</v>
      </c>
      <c r="D217" s="49"/>
      <c r="E217" s="30">
        <f>SUM(E178:E204)</f>
        <v>156247</v>
      </c>
      <c r="F217" s="68">
        <f>SUM(F178:F204)</f>
        <v>180514</v>
      </c>
      <c r="G217" s="30">
        <f>SUM(G178:G204)</f>
        <v>280526</v>
      </c>
      <c r="H217" s="30">
        <f>SUM(H178:H216)</f>
        <v>281597</v>
      </c>
      <c r="I217" s="30">
        <f>SUM(I178:I216)</f>
        <v>27911</v>
      </c>
      <c r="J217" s="115">
        <f>SUM(J178:J216)</f>
        <v>262681</v>
      </c>
      <c r="K217" s="68">
        <f>SUM(K178:K216)</f>
        <v>29270</v>
      </c>
      <c r="L217" s="68">
        <f t="shared" ref="L217:M217" si="16">SUM(L178:L216)</f>
        <v>81891</v>
      </c>
      <c r="M217" s="30">
        <f t="shared" si="16"/>
        <v>2075</v>
      </c>
      <c r="N217" s="68">
        <f t="shared" ref="N217:O217" si="17">SUM(N178:N216)</f>
        <v>149621</v>
      </c>
      <c r="O217" s="30">
        <f t="shared" si="17"/>
        <v>1364</v>
      </c>
    </row>
    <row r="218" spans="1:15">
      <c r="A218" s="45">
        <v>1</v>
      </c>
      <c r="B218" s="20"/>
      <c r="C218" s="2"/>
      <c r="D218" s="31" t="s">
        <v>181</v>
      </c>
      <c r="E218" s="16"/>
      <c r="F218" s="69"/>
      <c r="G218" s="16"/>
      <c r="H218" s="16"/>
      <c r="I218" s="16"/>
      <c r="J218" s="41"/>
      <c r="K218" s="69"/>
      <c r="L218" s="83"/>
      <c r="M218" s="82"/>
      <c r="N218" s="83"/>
      <c r="O218" s="82"/>
    </row>
    <row r="219" spans="1:15">
      <c r="A219" s="45">
        <v>2</v>
      </c>
      <c r="B219" s="20"/>
      <c r="C219" s="2"/>
      <c r="D219" s="15" t="s">
        <v>182</v>
      </c>
      <c r="E219" s="16">
        <v>3179617</v>
      </c>
      <c r="F219" s="69">
        <v>3524335</v>
      </c>
      <c r="G219" s="16">
        <v>3497825</v>
      </c>
      <c r="H219" s="16">
        <f>800726+690129</f>
        <v>1490855</v>
      </c>
      <c r="I219" s="16">
        <f>901966+943001</f>
        <v>1844967</v>
      </c>
      <c r="J219" s="41">
        <f>614071+675535</f>
        <v>1289606</v>
      </c>
      <c r="K219" s="69">
        <f>735724+771796</f>
        <v>1507520</v>
      </c>
      <c r="L219" s="83">
        <v>376578</v>
      </c>
      <c r="M219" s="82">
        <v>210987</v>
      </c>
      <c r="N219" s="83">
        <v>271020</v>
      </c>
      <c r="O219" s="82">
        <v>5838</v>
      </c>
    </row>
    <row r="220" spans="1:15">
      <c r="A220" s="45">
        <v>3</v>
      </c>
      <c r="B220" s="20"/>
      <c r="C220" s="2"/>
      <c r="D220" s="15" t="s">
        <v>183</v>
      </c>
      <c r="E220" s="16">
        <v>650412</v>
      </c>
      <c r="F220" s="69">
        <v>687916</v>
      </c>
      <c r="G220" s="16">
        <v>947393</v>
      </c>
      <c r="H220" s="16">
        <f>256398+236241</f>
        <v>492639</v>
      </c>
      <c r="I220" s="16">
        <f>194965+280078</f>
        <v>475043</v>
      </c>
      <c r="J220" s="41">
        <f>226532+248684</f>
        <v>475216</v>
      </c>
      <c r="K220" s="69">
        <f>211999+291508</f>
        <v>503507</v>
      </c>
      <c r="L220" s="83">
        <v>124766</v>
      </c>
      <c r="M220" s="82">
        <v>74240</v>
      </c>
      <c r="N220" s="83">
        <v>56860</v>
      </c>
      <c r="O220" s="82">
        <v>346</v>
      </c>
    </row>
    <row r="221" spans="1:15">
      <c r="A221" s="45">
        <v>4</v>
      </c>
      <c r="B221" s="20"/>
      <c r="C221" s="2"/>
      <c r="D221" s="15" t="s">
        <v>184</v>
      </c>
      <c r="E221" s="16">
        <v>64088</v>
      </c>
      <c r="F221" s="69">
        <v>37896</v>
      </c>
      <c r="G221" s="16">
        <v>18149</v>
      </c>
      <c r="H221" s="26" t="s">
        <v>17</v>
      </c>
      <c r="I221" s="26" t="s">
        <v>17</v>
      </c>
      <c r="J221" s="116" t="s">
        <v>17</v>
      </c>
      <c r="K221" s="70" t="s">
        <v>17</v>
      </c>
      <c r="L221" s="84" t="s">
        <v>17</v>
      </c>
      <c r="M221" s="84" t="s">
        <v>17</v>
      </c>
      <c r="N221" s="84">
        <v>0</v>
      </c>
      <c r="O221" s="84">
        <v>0</v>
      </c>
    </row>
    <row r="222" spans="1:15">
      <c r="A222" s="45">
        <v>5</v>
      </c>
      <c r="B222" s="13"/>
      <c r="C222" s="14"/>
      <c r="D222" s="15" t="s">
        <v>185</v>
      </c>
      <c r="E222" s="16">
        <v>523905</v>
      </c>
      <c r="F222" s="69">
        <v>570055</v>
      </c>
      <c r="G222" s="16">
        <v>468796</v>
      </c>
      <c r="H222" s="16">
        <f>316309+246881</f>
        <v>563190</v>
      </c>
      <c r="I222" s="16">
        <f>23960+28900</f>
        <v>52860</v>
      </c>
      <c r="J222" s="41">
        <f>331217+345750</f>
        <v>676967</v>
      </c>
      <c r="K222" s="69">
        <f>23029+26283</f>
        <v>49312</v>
      </c>
      <c r="L222" s="83">
        <v>337211</v>
      </c>
      <c r="M222" s="82">
        <v>9875</v>
      </c>
      <c r="N222" s="83">
        <v>0</v>
      </c>
      <c r="O222" s="82">
        <v>0</v>
      </c>
    </row>
    <row r="223" spans="1:15">
      <c r="A223" s="45">
        <v>6</v>
      </c>
      <c r="B223" s="13"/>
      <c r="C223" s="14"/>
      <c r="D223" s="15" t="s">
        <v>186</v>
      </c>
      <c r="E223" s="16">
        <v>24852</v>
      </c>
      <c r="F223" s="69">
        <v>19787</v>
      </c>
      <c r="G223" s="16">
        <v>8991</v>
      </c>
      <c r="H223" s="16">
        <f>5577+3944</f>
        <v>9521</v>
      </c>
      <c r="I223" s="16">
        <f>696+747</f>
        <v>1443</v>
      </c>
      <c r="J223" s="41">
        <f>5855+1716</f>
        <v>7571</v>
      </c>
      <c r="K223" s="69">
        <f>517+526</f>
        <v>1043</v>
      </c>
      <c r="L223" s="83">
        <v>467</v>
      </c>
      <c r="M223" s="82">
        <v>95</v>
      </c>
      <c r="N223" s="83">
        <v>360730</v>
      </c>
      <c r="O223" s="82">
        <v>1143</v>
      </c>
    </row>
    <row r="224" spans="1:15">
      <c r="A224" s="45">
        <v>7</v>
      </c>
      <c r="B224" s="13"/>
      <c r="C224" s="14"/>
      <c r="D224" s="15" t="s">
        <v>187</v>
      </c>
      <c r="E224" s="16">
        <v>97546</v>
      </c>
      <c r="F224" s="69">
        <v>93965</v>
      </c>
      <c r="G224" s="16">
        <v>93396</v>
      </c>
      <c r="H224" s="16">
        <f>20815+12821</f>
        <v>33636</v>
      </c>
      <c r="I224" s="16">
        <f>25776+31165</f>
        <v>56941</v>
      </c>
      <c r="J224" s="41">
        <f>10073+9732</f>
        <v>19805</v>
      </c>
      <c r="K224" s="69">
        <f>23706+28015</f>
        <v>51721</v>
      </c>
      <c r="L224" s="83">
        <v>2515</v>
      </c>
      <c r="M224" s="82">
        <v>6772</v>
      </c>
      <c r="N224" s="83">
        <v>0</v>
      </c>
      <c r="O224" s="82">
        <v>0</v>
      </c>
    </row>
    <row r="225" spans="1:15">
      <c r="A225" s="45">
        <v>8</v>
      </c>
      <c r="B225" s="13"/>
      <c r="C225" s="14"/>
      <c r="D225" s="15" t="s">
        <v>188</v>
      </c>
      <c r="E225" s="16">
        <v>25559</v>
      </c>
      <c r="F225" s="69">
        <v>24045</v>
      </c>
      <c r="G225" s="16">
        <v>20356</v>
      </c>
      <c r="H225" s="16">
        <f>10444+11268</f>
        <v>21712</v>
      </c>
      <c r="I225" s="16">
        <f>439+429</f>
        <v>868</v>
      </c>
      <c r="J225" s="41">
        <f>10282+10185</f>
        <v>20467</v>
      </c>
      <c r="K225" s="69">
        <f>343+648</f>
        <v>991</v>
      </c>
      <c r="L225" s="83">
        <v>9007</v>
      </c>
      <c r="M225" s="82">
        <v>258</v>
      </c>
      <c r="N225" s="83">
        <v>7151</v>
      </c>
      <c r="O225" s="82">
        <v>79</v>
      </c>
    </row>
    <row r="226" spans="1:15">
      <c r="A226" s="45">
        <v>9</v>
      </c>
      <c r="B226" s="13"/>
      <c r="C226" s="14"/>
      <c r="D226" s="15" t="s">
        <v>189</v>
      </c>
      <c r="E226" s="24" t="s">
        <v>17</v>
      </c>
      <c r="F226" s="71" t="s">
        <v>17</v>
      </c>
      <c r="G226" s="26" t="s">
        <v>17</v>
      </c>
      <c r="H226" s="26" t="s">
        <v>17</v>
      </c>
      <c r="I226" s="26" t="s">
        <v>17</v>
      </c>
      <c r="J226" s="116" t="s">
        <v>17</v>
      </c>
      <c r="K226" s="70" t="s">
        <v>17</v>
      </c>
      <c r="L226" s="84" t="s">
        <v>17</v>
      </c>
      <c r="M226" s="84" t="s">
        <v>17</v>
      </c>
      <c r="N226" s="84">
        <v>0</v>
      </c>
      <c r="O226" s="84">
        <v>0</v>
      </c>
    </row>
    <row r="227" spans="1:15">
      <c r="A227" s="45">
        <v>10</v>
      </c>
      <c r="B227" s="13"/>
      <c r="C227" s="14"/>
      <c r="D227" s="15" t="s">
        <v>190</v>
      </c>
      <c r="E227" s="24" t="s">
        <v>17</v>
      </c>
      <c r="F227" s="71" t="s">
        <v>17</v>
      </c>
      <c r="G227" s="26" t="s">
        <v>17</v>
      </c>
      <c r="H227" s="26" t="s">
        <v>17</v>
      </c>
      <c r="I227" s="26" t="s">
        <v>17</v>
      </c>
      <c r="J227" s="116" t="s">
        <v>17</v>
      </c>
      <c r="K227" s="70" t="s">
        <v>17</v>
      </c>
      <c r="L227" s="84" t="s">
        <v>17</v>
      </c>
      <c r="M227" s="84" t="s">
        <v>17</v>
      </c>
      <c r="N227" s="84">
        <v>0</v>
      </c>
      <c r="O227" s="84">
        <v>0</v>
      </c>
    </row>
    <row r="228" spans="1:15">
      <c r="A228" s="45">
        <v>11</v>
      </c>
      <c r="B228" s="13"/>
      <c r="C228" s="14"/>
      <c r="D228" s="15" t="s">
        <v>191</v>
      </c>
      <c r="E228" s="16">
        <v>4903</v>
      </c>
      <c r="F228" s="69">
        <v>5428</v>
      </c>
      <c r="G228" s="16">
        <v>4105</v>
      </c>
      <c r="H228" s="16">
        <f>2767+1476</f>
        <v>4243</v>
      </c>
      <c r="I228" s="16">
        <f>581+805</f>
        <v>1386</v>
      </c>
      <c r="J228" s="41">
        <f>2549+2407</f>
        <v>4956</v>
      </c>
      <c r="K228" s="69">
        <f>450+674</f>
        <v>1124</v>
      </c>
      <c r="L228" s="83">
        <v>363</v>
      </c>
      <c r="M228" s="82">
        <v>192</v>
      </c>
      <c r="N228" s="83">
        <v>137</v>
      </c>
      <c r="O228" s="82">
        <v>19</v>
      </c>
    </row>
    <row r="229" spans="1:15">
      <c r="A229" s="45">
        <v>12</v>
      </c>
      <c r="B229" s="13"/>
      <c r="C229" s="14"/>
      <c r="D229" s="15" t="s">
        <v>192</v>
      </c>
      <c r="E229" s="16">
        <v>164366</v>
      </c>
      <c r="F229" s="69">
        <v>213009</v>
      </c>
      <c r="G229" s="16">
        <v>250153</v>
      </c>
      <c r="H229" s="16">
        <f>23381+25999</f>
        <v>49380</v>
      </c>
      <c r="I229" s="16">
        <f>263414+146213</f>
        <v>409627</v>
      </c>
      <c r="J229" s="41">
        <f>32511+35196</f>
        <v>67707</v>
      </c>
      <c r="K229" s="69">
        <f>90307+156429</f>
        <v>246736</v>
      </c>
      <c r="L229" s="83">
        <v>42367</v>
      </c>
      <c r="M229" s="82">
        <v>46639</v>
      </c>
      <c r="N229" s="83">
        <v>51092</v>
      </c>
      <c r="O229" s="82">
        <v>1704</v>
      </c>
    </row>
    <row r="230" spans="1:15">
      <c r="A230" s="45">
        <v>13</v>
      </c>
      <c r="B230" s="13"/>
      <c r="C230" s="14"/>
      <c r="D230" s="15" t="s">
        <v>193</v>
      </c>
      <c r="E230" s="16">
        <v>7036</v>
      </c>
      <c r="F230" s="69">
        <v>6733</v>
      </c>
      <c r="G230" s="16">
        <v>5971</v>
      </c>
      <c r="H230" s="16">
        <f>1165+1119</f>
        <v>2284</v>
      </c>
      <c r="I230" s="16">
        <f>961+975</f>
        <v>1936</v>
      </c>
      <c r="J230" s="41">
        <f>718+895</f>
        <v>1613</v>
      </c>
      <c r="K230" s="69">
        <f>744+838</f>
        <v>1582</v>
      </c>
      <c r="L230" s="83">
        <v>349</v>
      </c>
      <c r="M230" s="82">
        <v>384</v>
      </c>
      <c r="N230" s="83">
        <v>199</v>
      </c>
      <c r="O230" s="82">
        <v>48</v>
      </c>
    </row>
    <row r="231" spans="1:15">
      <c r="A231" s="45">
        <v>14</v>
      </c>
      <c r="B231" s="42"/>
      <c r="C231" s="43"/>
      <c r="D231" s="50" t="s">
        <v>194</v>
      </c>
      <c r="E231" s="44">
        <v>22295</v>
      </c>
      <c r="F231" s="75">
        <v>20809</v>
      </c>
      <c r="G231" s="51">
        <v>18688</v>
      </c>
      <c r="H231" s="26" t="s">
        <v>17</v>
      </c>
      <c r="I231" s="51">
        <f>7310+13904</f>
        <v>21214</v>
      </c>
      <c r="J231" s="116" t="s">
        <v>17</v>
      </c>
      <c r="K231" s="75">
        <f>13014+26966</f>
        <v>39980</v>
      </c>
      <c r="L231" s="84" t="s">
        <v>17</v>
      </c>
      <c r="M231" s="82">
        <v>3154</v>
      </c>
      <c r="N231" s="84">
        <v>0</v>
      </c>
      <c r="O231" s="82">
        <v>0</v>
      </c>
    </row>
    <row r="232" spans="1:15">
      <c r="A232" s="53"/>
      <c r="B232" s="42"/>
      <c r="C232" s="29" t="s">
        <v>27</v>
      </c>
      <c r="D232" s="50"/>
      <c r="E232" s="52">
        <f t="shared" ref="E232:I232" si="18">SUM(E219:E231)</f>
        <v>4764579</v>
      </c>
      <c r="F232" s="76">
        <f t="shared" si="18"/>
        <v>5203978</v>
      </c>
      <c r="G232" s="52">
        <f t="shared" si="18"/>
        <v>5333823</v>
      </c>
      <c r="H232" s="30">
        <f t="shared" si="18"/>
        <v>2667460</v>
      </c>
      <c r="I232" s="52">
        <f t="shared" si="18"/>
        <v>2866285</v>
      </c>
      <c r="J232" s="115">
        <f t="shared" ref="J232:M232" si="19">SUM(J219:J231)</f>
        <v>2563908</v>
      </c>
      <c r="K232" s="76">
        <f t="shared" si="19"/>
        <v>2403516</v>
      </c>
      <c r="L232" s="68">
        <f t="shared" si="19"/>
        <v>893623</v>
      </c>
      <c r="M232" s="30">
        <f t="shared" si="19"/>
        <v>352596</v>
      </c>
      <c r="N232" s="68">
        <f t="shared" ref="N232:O232" si="20">SUM(N219:N231)</f>
        <v>747189</v>
      </c>
      <c r="O232" s="30">
        <f t="shared" si="20"/>
        <v>9177</v>
      </c>
    </row>
    <row r="233" spans="1:15">
      <c r="B233" s="42"/>
      <c r="C233" s="43"/>
      <c r="D233" s="54" t="s">
        <v>195</v>
      </c>
      <c r="E233" s="55">
        <f>E232+E217+E176+E119+E93+E84+E76+E47+E38</f>
        <v>11468022</v>
      </c>
      <c r="F233" s="77">
        <f>F232+F217+F176+F119+F93+F84+F76+F47+F38</f>
        <v>14575325</v>
      </c>
      <c r="G233" s="55">
        <f>G232+G217+G176+G119+G93+G84+G76+G47+G38</f>
        <v>17853694</v>
      </c>
      <c r="H233" s="55">
        <f t="shared" ref="H233:O233" si="21">(H38+H47+H76+H84+H93+H119+H176+H217+H232)</f>
        <v>9022329</v>
      </c>
      <c r="I233" s="55">
        <f t="shared" si="21"/>
        <v>11640057</v>
      </c>
      <c r="J233" s="119">
        <f t="shared" si="21"/>
        <v>7045775</v>
      </c>
      <c r="K233" s="77">
        <f t="shared" si="21"/>
        <v>13235139</v>
      </c>
      <c r="L233" s="77">
        <f t="shared" si="21"/>
        <v>2423770</v>
      </c>
      <c r="M233" s="55">
        <f t="shared" si="21"/>
        <v>1529858</v>
      </c>
      <c r="N233" s="77">
        <f t="shared" si="21"/>
        <v>2493739</v>
      </c>
      <c r="O233" s="55">
        <f t="shared" si="21"/>
        <v>100620</v>
      </c>
    </row>
    <row r="234" spans="1:15" ht="25.5" customHeight="1">
      <c r="A234" s="57" t="s">
        <v>196</v>
      </c>
      <c r="E234" s="56"/>
    </row>
    <row r="235" spans="1:15">
      <c r="A235" t="s">
        <v>199</v>
      </c>
      <c r="C235" s="58" t="s">
        <v>197</v>
      </c>
      <c r="D235" s="57" t="s">
        <v>198</v>
      </c>
      <c r="E235" s="35"/>
      <c r="F235" s="35"/>
      <c r="G235" s="35"/>
      <c r="H235" s="35"/>
      <c r="I235" s="35"/>
    </row>
    <row r="236" spans="1:15">
      <c r="C236" s="58" t="s">
        <v>197</v>
      </c>
      <c r="D236" t="s">
        <v>200</v>
      </c>
      <c r="E236" s="59"/>
      <c r="F236" s="59"/>
      <c r="G236" s="60"/>
      <c r="H236" s="60"/>
      <c r="I236" s="60"/>
    </row>
  </sheetData>
  <mergeCells count="10">
    <mergeCell ref="N6:O7"/>
    <mergeCell ref="L6:M7"/>
    <mergeCell ref="J6:K7"/>
    <mergeCell ref="H6:I7"/>
    <mergeCell ref="H114:I114"/>
    <mergeCell ref="A6:A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</cp:lastModifiedBy>
  <cp:lastPrinted>2022-04-27T03:40:34Z</cp:lastPrinted>
  <dcterms:created xsi:type="dcterms:W3CDTF">2019-12-17T23:43:34Z</dcterms:created>
  <dcterms:modified xsi:type="dcterms:W3CDTF">2022-05-18T02:03:44Z</dcterms:modified>
</cp:coreProperties>
</file>