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</sheets>
  <externalReferences>
    <externalReference r:id="rId4"/>
  </externalReference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<sst xmlns="http://schemas.openxmlformats.org/spreadsheetml/2006/main" count="228" uniqueCount="225">
  <si>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</si>
  <si>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</si>
  <si>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</si>
  <si>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</si>
  <si>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</si>
  <si>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</si>
  <si>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</si>
  <si>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</si>
  <si>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</si>
  <si>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</si>
  <si>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</si>
  <si>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</si>
  <si>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</si>
  <si>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</si>
  <si>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</si>
  <si>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</si>
  <si>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</si>
  <si>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</si>
  <si>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</si>
  <si>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</si>
  <si>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</si>
  <si>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</si>
  <si>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</si>
  <si>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</si>
  <si>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</si>
  <si>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</si>
  <si>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</si>
  <si>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</si>
  <si>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</si>
  <si>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</si>
  <si>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</si>
  <si>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</si>
  <si>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</si>
  <si>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</si>
  <si>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</si>
  <si>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</si>
  <si>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</si>
  <si>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</si>
  <si>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</si>
  <si>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</si>
  <si>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</si>
  <si>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</si>
  <si>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</si>
  <si>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</si>
  <si>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</si>
  <si>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</si>
  <si>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</si>
  <si>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</si>
  <si>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</si>
  <si>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</si>
  <si>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</si>
  <si>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</si>
  <si>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</si>
  <si>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</si>
  <si>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</si>
  <si>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</si>
  <si>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</si>
  <si>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</si>
  <si>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</si>
  <si>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</si>
  <si>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</si>
  <si>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</si>
  <si>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</si>
  <si>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</si>
  <si>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</si>
  <si>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</si>
  <si>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</si>
  <si>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</si>
  <si>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</si>
  <si>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</si>
  <si>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</si>
  <si>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</si>
  <si>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</si>
  <si>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</si>
  <si>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</si>
  <si>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</si>
  <si>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</si>
  <si>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</si>
  <si>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</si>
  <si>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</si>
  <si>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</si>
  <si>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</si>
  <si>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</si>
  <si>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</si>
  <si>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</si>
  <si>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</si>
  <si>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</si>
  <si>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</si>
  <si>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</si>
  <si>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</si>
  <si>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</si>
  <si>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</si>
  <si>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</si>
  <si>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</si>
  <si>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</si>
  <si>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</si>
  <si>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</si>
  <si>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</si>
  <si>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</si>
  <si>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</si>
  <si>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</si>
  <si>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</si>
  <si>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</si>
  <si>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</si>
  <si>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</si>
  <si>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</si>
  <si>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</si>
  <si>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</si>
  <si>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</si>
  <si>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</si>
  <si>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</si>
  <si>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</si>
  <si>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</si>
  <si>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</si>
  <si>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</si>
  <si>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</si>
  <si>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</si>
  <si>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</si>
  <si>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</si>
  <si>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</si>
  <si>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</si>
  <si>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</si>
  <si>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</si>
  <si>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</si>
  <si>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</si>
  <si>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</si>
  <si>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</si>
  <si>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</si>
  <si>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</si>
  <si>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</si>
  <si>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</si>
  <si>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</si>
  <si>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</si>
  <si>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</si>
  <si>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</si>
  <si>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</si>
  <si>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</si>
  <si>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</si>
  <si>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</si>
  <si>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</si>
  <si>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</si>
  <si>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</si>
  <si>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</si>
  <si>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</si>
  <si>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</si>
  <si>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</si>
  <si>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</si>
  <si>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</si>
  <si>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</si>
  <si>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</si>
  <si>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</si>
  <si>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</si>
  <si>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</si>
  <si>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</si>
  <si>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</si>
  <si>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</si>
  <si>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</si>
  <si>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</si>
  <si>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</si>
  <si>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</si>
  <si>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</si>
  <si>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</si>
  <si>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</si>
  <si>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</si>
  <si>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</si>
  <si>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</si>
  <si>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</si>
  <si>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</si>
  <si>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</si>
  <si>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</si>
  <si>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</si>
  <si>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</si>
  <si>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</si>
  <si>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</si>
  <si>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</si>
  <si>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</si>
  <si>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</si>
  <si>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</si>
  <si>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</si>
  <si>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</si>
  <si>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</si>
  <si>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</si>
  <si>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</si>
  <si>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</si>
  <si>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</si>
  <si>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</si>
  <si>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</si>
  <si>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</si>
  <si>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</si>
  <si>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</si>
  <si>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</si>
  <si>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</si>
  <si>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</si>
  <si>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</si>
  <si>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</si>
  <si>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</si>
  <si>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</si>
  <si>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</si>
  <si>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</si>
  <si>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</si>
  <si>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</si>
  <si>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</si>
  <si>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</si>
  <si>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</si>
  <si>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</si>
  <si>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</si>
  <si>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</si>
  <si>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</si>
  <si>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</si>
  <si>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</si>
  <si>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</si>
  <si>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</si>
  <si>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</si>
  <si>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</si>
  <si>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</si>
  <si>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</si>
  <si>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</si>
  <si>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</si>
  <si>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</si>
  <si>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</si>
  <si>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 xml:space="preserve"> 2022</t>
  </si>
  <si>
    <t>The number of direct arrival in October 2023 is 461,441</t>
  </si>
  <si>
    <t>The number of direct arrival in Oktober 2022 was 305,244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</si>
  <si>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(51,17%)  </t>
    </r>
    <r>
      <rPr>
        <b/>
        <sz val="10"/>
        <rFont val="Arial Narrow"/>
        <family val="2"/>
      </rPr>
      <t>compared to that of 2022</t>
    </r>
  </si>
  <si>
    <t>January - October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</si>
</sst>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10" fontId="5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98" activePane="bottomLeft" state="frozen"/>
      <selection pane="topLeft" activeCell="A1" sqref="A1"/>
      <selection pane="bottomLeft" activeCell="G209" sqref="G209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39" t="s">
        <v>217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272673</v>
      </c>
      <c r="J5" s="41">
        <f>SUM(J6:J33)</f>
        <v>251324</v>
      </c>
      <c r="K5" s="41">
        <f>SUM(K6:K33)</f>
        <v>261819</v>
      </c>
      <c r="L5" s="41">
        <f t="shared" si="0"/>
        <v>236292</v>
      </c>
      <c r="M5" s="41">
        <f t="shared" si="0"/>
        <v>0</v>
      </c>
      <c r="N5" s="41">
        <f t="shared" si="0"/>
        <v>0</v>
      </c>
      <c r="O5" s="41">
        <f>SUM(C5:N5)</f>
        <v>2166301</v>
      </c>
      <c r="P5" s="42">
        <f aca="true" t="shared" si="1" ref="P5:P68">O5/$O$196*100</f>
        <v>49.36090384893196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>
        <f>132930+9</f>
        <v>132939</v>
      </c>
      <c r="J6" s="44">
        <v>120467</v>
      </c>
      <c r="K6" s="44">
        <v>129118</v>
      </c>
      <c r="L6" s="44">
        <v>119273</v>
      </c>
      <c r="M6" s="44"/>
      <c r="N6" s="44"/>
      <c r="O6" s="46">
        <f>SUM(C6:N6)</f>
        <v>1093234</v>
      </c>
      <c r="P6" s="47">
        <f t="shared" si="1"/>
        <v>24.910212550510423</v>
      </c>
      <c r="Q6" s="7">
        <f>1134057-O6</f>
        <v>40823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/>
      <c r="N7" s="44"/>
      <c r="O7" s="22">
        <f aca="true" t="shared" si="2" ref="O7:O70">SUM(C7:N7)</f>
        <v>153</v>
      </c>
      <c r="P7" s="23">
        <f t="shared" si="1"/>
        <v>0.003486227578202009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>
        <v>258</v>
      </c>
      <c r="J8" s="44">
        <v>178</v>
      </c>
      <c r="K8" s="44">
        <v>238</v>
      </c>
      <c r="L8" s="44">
        <v>231</v>
      </c>
      <c r="M8" s="44"/>
      <c r="N8" s="44"/>
      <c r="O8" s="22">
        <f t="shared" si="2"/>
        <v>1784</v>
      </c>
      <c r="P8" s="23">
        <f t="shared" si="1"/>
        <v>0.04064986927785872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/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/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>
        <f>40842+1</f>
        <v>40843</v>
      </c>
      <c r="J11" s="20">
        <v>33424</v>
      </c>
      <c r="K11" s="20">
        <v>36018</v>
      </c>
      <c r="L11" s="44">
        <v>35488</v>
      </c>
      <c r="M11" s="44"/>
      <c r="N11" s="44"/>
      <c r="O11" s="22">
        <f>SUM(C11:N11)</f>
        <v>359936</v>
      </c>
      <c r="P11" s="23">
        <f t="shared" si="1"/>
        <v>8.201430128024302</v>
      </c>
      <c r="Q11" s="7">
        <f>334622-O11</f>
        <v>-25314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>
        <f>10282</f>
        <v>10282</v>
      </c>
      <c r="J12" s="44">
        <v>18214</v>
      </c>
      <c r="K12" s="44">
        <v>15993</v>
      </c>
      <c r="L12" s="20">
        <v>11112</v>
      </c>
      <c r="M12" s="44"/>
      <c r="N12" s="44"/>
      <c r="O12" s="22">
        <f t="shared" si="2"/>
        <v>94616</v>
      </c>
      <c r="P12" s="23">
        <f t="shared" si="1"/>
        <v>2.155901363001054</v>
      </c>
      <c r="Q12" s="7">
        <f>237552-O12</f>
        <v>142936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21">
        <v>0</v>
      </c>
      <c r="M13" s="44"/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>
        <v>25537</v>
      </c>
      <c r="J14" s="44">
        <v>23688</v>
      </c>
      <c r="K14" s="44">
        <v>23363</v>
      </c>
      <c r="L14" s="21">
        <v>21273</v>
      </c>
      <c r="M14" s="44"/>
      <c r="N14" s="44"/>
      <c r="O14" s="22">
        <f t="shared" si="2"/>
        <v>188041</v>
      </c>
      <c r="P14" s="23">
        <f t="shared" si="1"/>
        <v>4.284664836814928</v>
      </c>
      <c r="Q14" s="7">
        <f>192061-O14</f>
        <v>4020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>
        <v>361</v>
      </c>
      <c r="J15" s="44">
        <v>155</v>
      </c>
      <c r="K15" s="20">
        <v>154</v>
      </c>
      <c r="L15" s="21">
        <v>165</v>
      </c>
      <c r="M15" s="44"/>
      <c r="N15" s="44"/>
      <c r="O15" s="22">
        <f t="shared" si="2"/>
        <v>1441</v>
      </c>
      <c r="P15" s="23">
        <f t="shared" si="1"/>
        <v>0.0328343394783601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>
        <v>0</v>
      </c>
      <c r="J16" s="44">
        <v>70</v>
      </c>
      <c r="K16" s="44">
        <v>0</v>
      </c>
      <c r="L16" s="21">
        <v>128</v>
      </c>
      <c r="M16" s="44"/>
      <c r="N16" s="44"/>
      <c r="O16" s="22">
        <f t="shared" si="2"/>
        <v>732</v>
      </c>
      <c r="P16" s="23">
        <f t="shared" si="1"/>
        <v>0.016679206452574317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21">
        <v>0</v>
      </c>
      <c r="M17" s="44"/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21">
        <v>0</v>
      </c>
      <c r="M18" s="44"/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>
        <v>390</v>
      </c>
      <c r="J19" s="20">
        <v>486</v>
      </c>
      <c r="K19" s="44">
        <v>456</v>
      </c>
      <c r="L19" s="21">
        <v>605</v>
      </c>
      <c r="M19" s="44"/>
      <c r="N19" s="44"/>
      <c r="O19" s="22">
        <f t="shared" si="2"/>
        <v>3767</v>
      </c>
      <c r="P19" s="23">
        <f t="shared" si="1"/>
        <v>0.08583411298749652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1">
        <v>0</v>
      </c>
      <c r="M20" s="44"/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>
        <v>668</v>
      </c>
      <c r="J21" s="20">
        <v>506</v>
      </c>
      <c r="K21" s="20">
        <v>486</v>
      </c>
      <c r="L21" s="21">
        <v>536</v>
      </c>
      <c r="M21" s="44"/>
      <c r="N21" s="44"/>
      <c r="O21" s="22">
        <f t="shared" si="2"/>
        <v>4701</v>
      </c>
      <c r="P21" s="23">
        <f t="shared" si="1"/>
        <v>0.10711605127534408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>
        <f>36669+2</f>
        <v>36671</v>
      </c>
      <c r="J22" s="44">
        <v>30342</v>
      </c>
      <c r="K22" s="44">
        <v>32755</v>
      </c>
      <c r="L22" s="21">
        <v>25148</v>
      </c>
      <c r="M22" s="44"/>
      <c r="N22" s="44"/>
      <c r="O22" s="22">
        <f t="shared" si="2"/>
        <v>229537</v>
      </c>
      <c r="P22" s="23">
        <f t="shared" si="1"/>
        <v>5.230184441946108</v>
      </c>
      <c r="Q22" s="7">
        <f>1104824-O22</f>
        <v>875287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1">
        <v>0</v>
      </c>
      <c r="M23" s="44"/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1">
        <v>0</v>
      </c>
      <c r="M24" s="44"/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21">
        <v>0</v>
      </c>
      <c r="M25" s="44"/>
      <c r="N25" s="44"/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>
        <f>13420+3</f>
        <v>13423</v>
      </c>
      <c r="J26" s="44">
        <v>12250</v>
      </c>
      <c r="K26" s="44">
        <v>11058</v>
      </c>
      <c r="L26" s="21">
        <v>9937</v>
      </c>
      <c r="M26" s="44"/>
      <c r="N26" s="44"/>
      <c r="O26" s="22">
        <f t="shared" si="2"/>
        <v>90426</v>
      </c>
      <c r="P26" s="23">
        <f t="shared" si="1"/>
        <v>2.0604288561208812</v>
      </c>
      <c r="Q26" s="7">
        <f>123096-O26</f>
        <v>32670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21">
        <v>0</v>
      </c>
      <c r="M27" s="44"/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>
        <v>294</v>
      </c>
      <c r="J28" s="44">
        <v>269</v>
      </c>
      <c r="K28" s="44">
        <v>368</v>
      </c>
      <c r="L28" s="21">
        <v>211</v>
      </c>
      <c r="M28" s="44"/>
      <c r="N28" s="44"/>
      <c r="O28" s="22">
        <f t="shared" si="2"/>
        <v>2134</v>
      </c>
      <c r="P28" s="23">
        <f t="shared" si="1"/>
        <v>0.04862489968551037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1">
        <v>0</v>
      </c>
      <c r="M29" s="44"/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1">
        <v>0</v>
      </c>
      <c r="M30" s="44"/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>
        <v>8444</v>
      </c>
      <c r="J31" s="20">
        <v>8348</v>
      </c>
      <c r="K31" s="20">
        <v>8804</v>
      </c>
      <c r="L31" s="21">
        <v>9286</v>
      </c>
      <c r="M31" s="44"/>
      <c r="N31" s="44"/>
      <c r="O31" s="22">
        <f t="shared" si="2"/>
        <v>71079</v>
      </c>
      <c r="P31" s="23">
        <f t="shared" si="1"/>
        <v>1.6195919609870626</v>
      </c>
      <c r="Q31" s="7">
        <f>99650-O31</f>
        <v>28571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>
        <v>2563</v>
      </c>
      <c r="J32" s="44">
        <v>2927</v>
      </c>
      <c r="K32" s="44">
        <v>3008</v>
      </c>
      <c r="L32" s="21">
        <v>2899</v>
      </c>
      <c r="M32" s="44"/>
      <c r="N32" s="44"/>
      <c r="O32" s="22">
        <f t="shared" si="2"/>
        <v>24720</v>
      </c>
      <c r="P32" s="23">
        <f t="shared" si="1"/>
        <v>0.563265004791854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6">
        <v>0</v>
      </c>
      <c r="M33" s="44"/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55953</v>
      </c>
      <c r="J34" s="53">
        <f>SUM(J35:J43)</f>
        <v>55927</v>
      </c>
      <c r="K34" s="53">
        <f t="shared" si="4"/>
        <v>54077</v>
      </c>
      <c r="L34" s="53">
        <f t="shared" si="4"/>
        <v>45731</v>
      </c>
      <c r="M34" s="41">
        <f t="shared" si="4"/>
        <v>0</v>
      </c>
      <c r="N34" s="41">
        <f t="shared" si="4"/>
        <v>0</v>
      </c>
      <c r="O34" s="41">
        <f t="shared" si="2"/>
        <v>534157</v>
      </c>
      <c r="P34" s="42">
        <f t="shared" si="1"/>
        <v>12.171195192742813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>
        <v>0</v>
      </c>
      <c r="J35" s="44">
        <v>163</v>
      </c>
      <c r="K35" s="44">
        <v>113</v>
      </c>
      <c r="L35" s="44">
        <v>0</v>
      </c>
      <c r="M35" s="44"/>
      <c r="N35" s="20"/>
      <c r="O35" s="46">
        <f t="shared" si="2"/>
        <v>852</v>
      </c>
      <c r="P35" s="47">
        <f t="shared" si="1"/>
        <v>0.0194135025923406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>
        <v>604</v>
      </c>
      <c r="J36" s="20">
        <v>460</v>
      </c>
      <c r="K36" s="44">
        <v>432</v>
      </c>
      <c r="L36" s="44">
        <v>438</v>
      </c>
      <c r="M36" s="20"/>
      <c r="N36" s="20"/>
      <c r="O36" s="22">
        <f t="shared" si="2"/>
        <v>4925</v>
      </c>
      <c r="P36" s="23">
        <f t="shared" si="1"/>
        <v>0.11222007073624113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>
        <v>0</v>
      </c>
      <c r="J37" s="44">
        <v>143</v>
      </c>
      <c r="K37" s="44">
        <v>114</v>
      </c>
      <c r="L37" s="44">
        <v>113</v>
      </c>
      <c r="M37" s="44"/>
      <c r="N37" s="20"/>
      <c r="O37" s="22">
        <f t="shared" si="2"/>
        <v>786</v>
      </c>
      <c r="P37" s="23">
        <f t="shared" si="1"/>
        <v>0.017909639715469144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>
        <f>15159+1</f>
        <v>15160</v>
      </c>
      <c r="J38" s="20">
        <v>19744</v>
      </c>
      <c r="K38" s="44">
        <v>18802</v>
      </c>
      <c r="L38" s="44">
        <v>14734</v>
      </c>
      <c r="M38" s="20"/>
      <c r="N38" s="20"/>
      <c r="O38" s="22">
        <f t="shared" si="2"/>
        <v>167081</v>
      </c>
      <c r="P38" s="23">
        <f t="shared" si="1"/>
        <v>3.8070744444024176</v>
      </c>
      <c r="Q38" s="7">
        <f>161740-O38</f>
        <v>-5341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>
        <v>655</v>
      </c>
      <c r="J39" s="44">
        <v>613</v>
      </c>
      <c r="K39" s="44">
        <v>691</v>
      </c>
      <c r="L39" s="44">
        <v>701</v>
      </c>
      <c r="M39" s="20"/>
      <c r="N39" s="20"/>
      <c r="O39" s="22">
        <f t="shared" si="2"/>
        <v>6963</v>
      </c>
      <c r="P39" s="23">
        <f t="shared" si="1"/>
        <v>0.1586575335099385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>
        <f>9459+2</f>
        <v>9461</v>
      </c>
      <c r="J40" s="20">
        <v>7643</v>
      </c>
      <c r="K40" s="44">
        <v>7639</v>
      </c>
      <c r="L40" s="44">
        <v>7623</v>
      </c>
      <c r="M40" s="20"/>
      <c r="N40" s="20"/>
      <c r="O40" s="22">
        <f t="shared" si="2"/>
        <v>76422</v>
      </c>
      <c r="P40" s="23">
        <f t="shared" si="1"/>
        <v>1.7413364966101563</v>
      </c>
      <c r="Q40" s="7">
        <f>97917-O40</f>
        <v>21495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>
        <v>16306</v>
      </c>
      <c r="J41" s="44">
        <v>15658</v>
      </c>
      <c r="K41" s="44">
        <v>18131</v>
      </c>
      <c r="L41" s="44">
        <v>14344</v>
      </c>
      <c r="M41" s="20"/>
      <c r="N41" s="20"/>
      <c r="O41" s="22">
        <f t="shared" si="2"/>
        <v>176821</v>
      </c>
      <c r="P41" s="23">
        <f t="shared" si="1"/>
        <v>4.02900814774678</v>
      </c>
      <c r="Q41" s="7">
        <f>138017-O41</f>
        <v>-38804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>
        <v>5286</v>
      </c>
      <c r="J42" s="20">
        <v>3906</v>
      </c>
      <c r="K42" s="44">
        <v>3661</v>
      </c>
      <c r="L42" s="44">
        <v>3915</v>
      </c>
      <c r="M42" s="20"/>
      <c r="N42" s="20"/>
      <c r="O42" s="22">
        <f t="shared" si="2"/>
        <v>37001</v>
      </c>
      <c r="P42" s="23">
        <f t="shared" si="1"/>
        <v>0.8430974288957681</v>
      </c>
      <c r="Q42" s="7">
        <f>55993-O42</f>
        <v>18992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>
        <v>8481</v>
      </c>
      <c r="J43" s="44">
        <v>7597</v>
      </c>
      <c r="K43" s="44">
        <v>4494</v>
      </c>
      <c r="L43" s="44">
        <v>3863</v>
      </c>
      <c r="M43" s="20"/>
      <c r="N43" s="20"/>
      <c r="O43" s="41">
        <f t="shared" si="2"/>
        <v>63306</v>
      </c>
      <c r="P43" s="50">
        <f t="shared" si="1"/>
        <v>1.442477928533702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L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>
        <f t="shared" si="5"/>
        <v>5108</v>
      </c>
      <c r="J44" s="53">
        <f t="shared" si="5"/>
        <v>5692</v>
      </c>
      <c r="K44" s="53">
        <f t="shared" si="5"/>
        <v>5155</v>
      </c>
      <c r="L44" s="53">
        <f t="shared" si="5"/>
        <v>4790</v>
      </c>
      <c r="M44" s="53"/>
      <c r="N44" s="53"/>
      <c r="O44" s="41">
        <f t="shared" si="2"/>
        <v>38930</v>
      </c>
      <c r="P44" s="54">
        <f t="shared" si="1"/>
        <v>0.8870512393425111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>
        <v>206</v>
      </c>
      <c r="J45" s="44">
        <v>438</v>
      </c>
      <c r="K45" s="44">
        <v>457</v>
      </c>
      <c r="L45" s="122">
        <v>297</v>
      </c>
      <c r="M45" s="44"/>
      <c r="N45" s="44"/>
      <c r="O45" s="46">
        <f t="shared" si="2"/>
        <v>1866</v>
      </c>
      <c r="P45" s="47">
        <f t="shared" si="1"/>
        <v>0.04251830497336568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20">
        <v>0</v>
      </c>
      <c r="M46" s="44"/>
      <c r="N46" s="44"/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>
        <v>2531</v>
      </c>
      <c r="J47" s="44">
        <v>1635</v>
      </c>
      <c r="K47" s="44">
        <v>2142</v>
      </c>
      <c r="L47" s="44">
        <v>2904</v>
      </c>
      <c r="M47" s="20"/>
      <c r="N47" s="20"/>
      <c r="O47" s="22">
        <f t="shared" si="2"/>
        <v>21860</v>
      </c>
      <c r="P47" s="23">
        <f t="shared" si="1"/>
        <v>0.4980976134607576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/>
      <c r="N48" s="44"/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/>
      <c r="N49" s="44"/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/>
      <c r="N50" s="44"/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/>
      <c r="N51" s="44"/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/>
      <c r="N52" s="44"/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/>
      <c r="N53" s="44"/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/>
      <c r="N54" s="44"/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/>
      <c r="N55" s="44"/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/>
      <c r="N56" s="44"/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/>
      <c r="N57" s="44"/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>
        <v>0</v>
      </c>
      <c r="J58" s="44">
        <v>87</v>
      </c>
      <c r="K58" s="44">
        <v>0</v>
      </c>
      <c r="L58" s="44">
        <v>0</v>
      </c>
      <c r="M58" s="44"/>
      <c r="N58" s="44"/>
      <c r="O58" s="22">
        <f t="shared" si="2"/>
        <v>87</v>
      </c>
      <c r="P58" s="23">
        <f t="shared" si="1"/>
        <v>0.0019823647013305543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/>
      <c r="N59" s="44"/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/>
      <c r="N60" s="44"/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/>
      <c r="N61" s="44"/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>
        <v>231</v>
      </c>
      <c r="J62" s="44">
        <v>257</v>
      </c>
      <c r="K62" s="44">
        <v>184</v>
      </c>
      <c r="L62" s="44">
        <v>205</v>
      </c>
      <c r="M62" s="44"/>
      <c r="N62" s="20"/>
      <c r="O62" s="22">
        <f t="shared" si="2"/>
        <v>1421</v>
      </c>
      <c r="P62" s="23">
        <f t="shared" si="1"/>
        <v>0.032378623455065716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/>
      <c r="N63" s="44"/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>
        <v>0</v>
      </c>
      <c r="J64" s="44">
        <v>106</v>
      </c>
      <c r="K64" s="44">
        <v>103</v>
      </c>
      <c r="L64" s="44">
        <v>0</v>
      </c>
      <c r="M64" s="44"/>
      <c r="N64" s="44"/>
      <c r="O64" s="22">
        <f t="shared" si="2"/>
        <v>420</v>
      </c>
      <c r="P64" s="23">
        <f t="shared" si="1"/>
        <v>0.009570036489181985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/>
      <c r="N65" s="44"/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/>
      <c r="N66" s="44"/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>
        <v>1216</v>
      </c>
      <c r="J67" s="44">
        <v>1785</v>
      </c>
      <c r="K67" s="44">
        <v>1107</v>
      </c>
      <c r="L67" s="44">
        <v>692</v>
      </c>
      <c r="M67" s="20"/>
      <c r="N67" s="20"/>
      <c r="O67" s="22">
        <f t="shared" si="2"/>
        <v>7054</v>
      </c>
      <c r="P67" s="23">
        <f t="shared" si="1"/>
        <v>0.16073104141592792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/>
      <c r="N68" s="44"/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/>
      <c r="N69" s="44"/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/>
      <c r="N70" s="44"/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/>
      <c r="N71" s="44"/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/>
      <c r="N72" s="44"/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/>
      <c r="N73" s="44"/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/>
      <c r="N74" s="44"/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/>
      <c r="N75" s="44"/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/>
      <c r="N76" s="44"/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/>
      <c r="N77" s="44"/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>
        <v>924</v>
      </c>
      <c r="J78" s="44">
        <v>1271</v>
      </c>
      <c r="K78" s="44">
        <v>1162</v>
      </c>
      <c r="L78" s="44">
        <v>692</v>
      </c>
      <c r="M78" s="20"/>
      <c r="N78" s="20"/>
      <c r="O78" s="22">
        <f t="shared" si="7"/>
        <v>6109</v>
      </c>
      <c r="P78" s="23">
        <f t="shared" si="6"/>
        <v>0.13919845931526845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/>
      <c r="N79" s="44"/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>
        <v>0</v>
      </c>
      <c r="J80" s="44">
        <v>113</v>
      </c>
      <c r="K80" s="44">
        <v>0</v>
      </c>
      <c r="L80" s="44">
        <v>0</v>
      </c>
      <c r="M80" s="44"/>
      <c r="N80" s="44"/>
      <c r="O80" s="22">
        <f t="shared" si="7"/>
        <v>113</v>
      </c>
      <c r="P80" s="23">
        <f t="shared" si="6"/>
        <v>0.0025747955316132486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/>
      <c r="N81" s="44"/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4"/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37037</v>
      </c>
      <c r="J83" s="53">
        <f>SUM(J84:J117)</f>
        <v>30725</v>
      </c>
      <c r="K83" s="53">
        <f>SUM(K84:K117)</f>
        <v>34903</v>
      </c>
      <c r="L83" s="53">
        <f>SUM(L84:L117)</f>
        <v>32674</v>
      </c>
      <c r="M83" s="53">
        <f>SUM(M84:M117)</f>
        <v>0</v>
      </c>
      <c r="N83" s="53">
        <f>SUM(N84:N117)</f>
        <v>0</v>
      </c>
      <c r="O83" s="41">
        <f t="shared" si="7"/>
        <v>318157</v>
      </c>
      <c r="P83" s="54">
        <f t="shared" si="6"/>
        <v>7.249462141163507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>
        <v>713</v>
      </c>
      <c r="J84" s="44">
        <v>735</v>
      </c>
      <c r="K84" s="44">
        <v>824</v>
      </c>
      <c r="L84" s="44">
        <v>749</v>
      </c>
      <c r="M84" s="20"/>
      <c r="N84" s="20"/>
      <c r="O84" s="46">
        <f t="shared" si="7"/>
        <v>7346</v>
      </c>
      <c r="P84" s="47">
        <f t="shared" si="6"/>
        <v>0.16738449535602587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>
        <v>26859</v>
      </c>
      <c r="J85" s="44">
        <v>21315</v>
      </c>
      <c r="K85" s="44">
        <v>22869</v>
      </c>
      <c r="L85" s="44">
        <v>21171</v>
      </c>
      <c r="M85" s="20"/>
      <c r="N85" s="20"/>
      <c r="O85" s="22">
        <f t="shared" si="7"/>
        <v>212185</v>
      </c>
      <c r="P85" s="47">
        <f t="shared" si="6"/>
        <v>4.8348052201359035</v>
      </c>
      <c r="Q85" s="7">
        <f>251142-O85</f>
        <v>38957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/>
      <c r="N86" s="44"/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>
        <v>1829</v>
      </c>
      <c r="J87" s="44">
        <v>1970</v>
      </c>
      <c r="K87" s="44">
        <v>2126</v>
      </c>
      <c r="L87" s="44">
        <v>1867</v>
      </c>
      <c r="M87" s="20"/>
      <c r="N87" s="20"/>
      <c r="O87" s="22">
        <f t="shared" si="7"/>
        <v>17600</v>
      </c>
      <c r="P87" s="23">
        <f t="shared" si="6"/>
        <v>0.40103010049905463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/>
      <c r="N88" s="44"/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/>
      <c r="N89" s="44"/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/>
      <c r="N90" s="44"/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/>
      <c r="N91" s="44"/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/>
      <c r="N92" s="44"/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>
        <v>588</v>
      </c>
      <c r="J93" s="44">
        <v>660</v>
      </c>
      <c r="K93" s="44">
        <v>906</v>
      </c>
      <c r="L93" s="44">
        <v>812</v>
      </c>
      <c r="M93" s="20"/>
      <c r="N93" s="20"/>
      <c r="O93" s="22">
        <f t="shared" si="7"/>
        <v>6822</v>
      </c>
      <c r="P93" s="23">
        <f t="shared" si="6"/>
        <v>0.1554447355457131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/>
      <c r="N94" s="44"/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/>
      <c r="N95" s="44"/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/>
      <c r="N96" s="44"/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>
        <v>0</v>
      </c>
      <c r="J97" s="44">
        <v>113</v>
      </c>
      <c r="K97" s="44">
        <v>117</v>
      </c>
      <c r="L97" s="44">
        <v>129</v>
      </c>
      <c r="M97" s="44"/>
      <c r="N97" s="44"/>
      <c r="O97" s="22">
        <f t="shared" si="7"/>
        <v>580</v>
      </c>
      <c r="P97" s="23">
        <f t="shared" si="6"/>
        <v>0.013215764675537027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/>
      <c r="N98" s="44"/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/>
      <c r="N99" s="44"/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/>
      <c r="N100" s="44"/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/>
      <c r="N101" s="44"/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>
        <v>4914</v>
      </c>
      <c r="J102" s="44">
        <v>3751</v>
      </c>
      <c r="K102" s="44">
        <v>5017</v>
      </c>
      <c r="L102" s="44">
        <v>5267</v>
      </c>
      <c r="M102" s="20"/>
      <c r="N102" s="20"/>
      <c r="O102" s="22">
        <f t="shared" si="7"/>
        <v>50391</v>
      </c>
      <c r="P102" s="23">
        <f t="shared" si="6"/>
        <v>1.1481993064913558</v>
      </c>
      <c r="Q102" s="7">
        <f>66594-O102</f>
        <v>16203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>
        <v>826</v>
      </c>
      <c r="J103" s="44">
        <v>1039</v>
      </c>
      <c r="K103" s="44">
        <v>1204</v>
      </c>
      <c r="L103" s="44">
        <v>1269</v>
      </c>
      <c r="M103" s="20"/>
      <c r="N103" s="20"/>
      <c r="O103" s="22">
        <f t="shared" si="7"/>
        <v>10399</v>
      </c>
      <c r="P103" s="23">
        <f t="shared" si="6"/>
        <v>0.236949546311913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/>
      <c r="N104" s="44"/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>
        <v>1059</v>
      </c>
      <c r="J105" s="44">
        <v>849</v>
      </c>
      <c r="K105" s="44">
        <v>1621</v>
      </c>
      <c r="L105" s="44">
        <v>1159</v>
      </c>
      <c r="M105" s="20"/>
      <c r="N105" s="20"/>
      <c r="O105" s="22">
        <f t="shared" si="7"/>
        <v>9622</v>
      </c>
      <c r="P105" s="23">
        <f t="shared" si="6"/>
        <v>0.21924497880692634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/>
      <c r="N106" s="44"/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/>
      <c r="N107" s="44"/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/>
      <c r="N108" s="44"/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>
        <v>249</v>
      </c>
      <c r="J109" s="44">
        <v>221</v>
      </c>
      <c r="K109" s="44">
        <v>219</v>
      </c>
      <c r="L109" s="44">
        <v>251</v>
      </c>
      <c r="M109" s="20"/>
      <c r="N109" s="44"/>
      <c r="O109" s="22">
        <f t="shared" si="7"/>
        <v>2064</v>
      </c>
      <c r="P109" s="23">
        <f t="shared" si="6"/>
        <v>0.04702989360398004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/>
      <c r="N110" s="44"/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/>
      <c r="N111" s="44"/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/>
      <c r="N112" s="44"/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/>
      <c r="N113" s="44"/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/>
      <c r="N114" s="44"/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/>
      <c r="N115" s="44"/>
      <c r="O115" s="22">
        <f t="shared" si="7"/>
        <v>1076</v>
      </c>
      <c r="P115" s="23">
        <f t="shared" si="6"/>
        <v>0.024517522053237657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72</v>
      </c>
      <c r="K116" s="44">
        <v>0</v>
      </c>
      <c r="L116" s="44">
        <v>0</v>
      </c>
      <c r="M116" s="44"/>
      <c r="N116" s="44"/>
      <c r="O116" s="22">
        <f t="shared" si="7"/>
        <v>72</v>
      </c>
      <c r="P116" s="23">
        <f t="shared" si="6"/>
        <v>0.0016405776838597688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/>
      <c r="N117" s="44"/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159229</v>
      </c>
      <c r="J118" s="53">
        <f t="shared" si="9"/>
        <v>170485</v>
      </c>
      <c r="K118" s="53">
        <f t="shared" si="9"/>
        <v>145069</v>
      </c>
      <c r="L118" s="53">
        <f t="shared" si="9"/>
        <v>134428</v>
      </c>
      <c r="M118" s="53">
        <f t="shared" si="9"/>
        <v>0</v>
      </c>
      <c r="N118" s="53">
        <f t="shared" si="9"/>
        <v>0</v>
      </c>
      <c r="O118" s="41">
        <f>SUM(C118:N118)</f>
        <v>1254330</v>
      </c>
      <c r="P118" s="54">
        <f t="shared" si="6"/>
        <v>28.580913974941996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>
        <v>2751</v>
      </c>
      <c r="J119" s="58">
        <v>2804</v>
      </c>
      <c r="K119" s="58">
        <v>2240</v>
      </c>
      <c r="L119" s="58">
        <v>2099</v>
      </c>
      <c r="M119" s="58"/>
      <c r="N119" s="20"/>
      <c r="O119" s="59">
        <f t="shared" si="7"/>
        <v>17757</v>
      </c>
      <c r="P119" s="60">
        <f t="shared" si="6"/>
        <v>0.40460747128191543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>
        <v>0</v>
      </c>
      <c r="J120" s="58">
        <v>97</v>
      </c>
      <c r="K120" s="58">
        <v>116</v>
      </c>
      <c r="L120" s="44">
        <v>199</v>
      </c>
      <c r="M120" s="44"/>
      <c r="N120" s="20"/>
      <c r="O120" s="63">
        <f t="shared" si="7"/>
        <v>710</v>
      </c>
      <c r="P120" s="64">
        <f t="shared" si="6"/>
        <v>0.0161779188269505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44">
        <v>0</v>
      </c>
      <c r="M121" s="44"/>
      <c r="N121" s="44"/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>
        <v>0</v>
      </c>
      <c r="J122" s="58">
        <v>176</v>
      </c>
      <c r="K122" s="58">
        <v>122</v>
      </c>
      <c r="L122" s="44">
        <v>136</v>
      </c>
      <c r="M122" s="44"/>
      <c r="N122" s="20"/>
      <c r="O122" s="63">
        <f t="shared" si="7"/>
        <v>912</v>
      </c>
      <c r="P122" s="64">
        <f t="shared" si="6"/>
        <v>0.02078065066222374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>
        <v>0</v>
      </c>
      <c r="J123" s="58">
        <v>113</v>
      </c>
      <c r="K123" s="58">
        <v>117</v>
      </c>
      <c r="L123" s="44">
        <v>0</v>
      </c>
      <c r="M123" s="44"/>
      <c r="N123" s="44"/>
      <c r="O123" s="63">
        <f t="shared" si="7"/>
        <v>334</v>
      </c>
      <c r="P123" s="64">
        <f t="shared" si="6"/>
        <v>0.00761045758901615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>
        <v>5486</v>
      </c>
      <c r="J124" s="58">
        <v>3121</v>
      </c>
      <c r="K124" s="58">
        <v>4289</v>
      </c>
      <c r="L124" s="58">
        <v>2808</v>
      </c>
      <c r="M124" s="58"/>
      <c r="N124" s="20"/>
      <c r="O124" s="63">
        <f t="shared" si="7"/>
        <v>27141</v>
      </c>
      <c r="P124" s="64">
        <f t="shared" si="6"/>
        <v>0.6184294294116387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>
        <v>17699</v>
      </c>
      <c r="J125" s="58">
        <v>12433</v>
      </c>
      <c r="K125" s="58">
        <v>13258</v>
      </c>
      <c r="L125" s="58">
        <v>10257</v>
      </c>
      <c r="M125" s="58"/>
      <c r="N125" s="20"/>
      <c r="O125" s="63">
        <f t="shared" si="7"/>
        <v>104717</v>
      </c>
      <c r="P125" s="64">
        <f t="shared" si="6"/>
        <v>2.3860607405658807</v>
      </c>
      <c r="Q125" s="7">
        <f>106954-O125</f>
        <v>2237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>
        <v>477</v>
      </c>
      <c r="J126" s="58">
        <v>414</v>
      </c>
      <c r="K126" s="58">
        <v>569</v>
      </c>
      <c r="L126" s="58">
        <v>573</v>
      </c>
      <c r="M126" s="58"/>
      <c r="N126" s="20"/>
      <c r="O126" s="63">
        <f t="shared" si="7"/>
        <v>5946</v>
      </c>
      <c r="P126" s="64">
        <f t="shared" si="6"/>
        <v>0.13548437372541924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>
        <v>202</v>
      </c>
      <c r="J127" s="58">
        <v>307</v>
      </c>
      <c r="K127" s="58">
        <v>407</v>
      </c>
      <c r="L127" s="58">
        <v>563</v>
      </c>
      <c r="M127" s="58"/>
      <c r="N127" s="20"/>
      <c r="O127" s="63">
        <f t="shared" si="7"/>
        <v>4707</v>
      </c>
      <c r="P127" s="64">
        <f t="shared" si="6"/>
        <v>0.1072527660823324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44">
        <v>0</v>
      </c>
      <c r="M128" s="44"/>
      <c r="N128" s="44"/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>
        <v>208</v>
      </c>
      <c r="J129" s="58">
        <v>285</v>
      </c>
      <c r="K129" s="58">
        <v>219</v>
      </c>
      <c r="L129" s="58">
        <v>283</v>
      </c>
      <c r="M129" s="58"/>
      <c r="N129" s="20"/>
      <c r="O129" s="63">
        <f t="shared" si="7"/>
        <v>2216</v>
      </c>
      <c r="P129" s="64">
        <f t="shared" si="6"/>
        <v>0.05049333538101733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>
        <v>1044</v>
      </c>
      <c r="J130" s="58">
        <v>796</v>
      </c>
      <c r="K130" s="58">
        <v>976</v>
      </c>
      <c r="L130" s="58">
        <v>1419</v>
      </c>
      <c r="M130" s="58"/>
      <c r="N130" s="20"/>
      <c r="O130" s="63">
        <f t="shared" si="7"/>
        <v>11824</v>
      </c>
      <c r="P130" s="64">
        <f t="shared" si="6"/>
        <v>0.2694193129716376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44">
        <v>0</v>
      </c>
      <c r="M131" s="44"/>
      <c r="N131" s="44"/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>
        <v>5579</v>
      </c>
      <c r="J132" s="58">
        <v>2175</v>
      </c>
      <c r="K132" s="58">
        <v>2254</v>
      </c>
      <c r="L132" s="58">
        <v>3127</v>
      </c>
      <c r="M132" s="58"/>
      <c r="N132" s="20"/>
      <c r="O132" s="63">
        <f t="shared" si="7"/>
        <v>29450</v>
      </c>
      <c r="P132" s="64">
        <f t="shared" si="6"/>
        <v>0.6710418443009749</v>
      </c>
      <c r="Q132" s="7">
        <f>32469-O132</f>
        <v>3019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>
        <v>0</v>
      </c>
      <c r="J133" s="58">
        <v>206</v>
      </c>
      <c r="K133" s="58">
        <v>234</v>
      </c>
      <c r="L133" s="58">
        <v>545</v>
      </c>
      <c r="M133" s="58"/>
      <c r="N133" s="20"/>
      <c r="O133" s="63">
        <f t="shared" si="7"/>
        <v>3661</v>
      </c>
      <c r="P133" s="64">
        <f aca="true" t="shared" si="10" ref="P133:P196">O133/$O$196*100</f>
        <v>0.08341881806403631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>
        <v>408</v>
      </c>
      <c r="J134" s="58">
        <v>398</v>
      </c>
      <c r="K134" s="58">
        <v>569</v>
      </c>
      <c r="L134" s="58">
        <v>924</v>
      </c>
      <c r="M134" s="58"/>
      <c r="N134" s="20"/>
      <c r="O134" s="63">
        <f t="shared" si="7"/>
        <v>6911</v>
      </c>
      <c r="P134" s="64">
        <f t="shared" si="10"/>
        <v>0.15747267184937308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>
        <v>94</v>
      </c>
      <c r="K135" s="58">
        <v>0</v>
      </c>
      <c r="L135" s="44">
        <v>0</v>
      </c>
      <c r="M135" s="44"/>
      <c r="N135" s="44"/>
      <c r="O135" s="63">
        <f aca="true" t="shared" si="11" ref="O135:O194">SUM(C135:N135)</f>
        <v>94</v>
      </c>
      <c r="P135" s="64">
        <f t="shared" si="10"/>
        <v>0.0021418653094835874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>
        <v>991</v>
      </c>
      <c r="J136" s="58">
        <v>1009</v>
      </c>
      <c r="K136" s="58">
        <v>1326</v>
      </c>
      <c r="L136" s="58">
        <v>1717</v>
      </c>
      <c r="M136" s="58"/>
      <c r="N136" s="20"/>
      <c r="O136" s="63">
        <f t="shared" si="11"/>
        <v>12272</v>
      </c>
      <c r="P136" s="64">
        <f t="shared" si="10"/>
        <v>0.2796273518934317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>
        <f>8128+1</f>
        <v>8129</v>
      </c>
      <c r="J137" s="58">
        <v>20871</v>
      </c>
      <c r="K137" s="58">
        <v>7274</v>
      </c>
      <c r="L137" s="58">
        <v>4836</v>
      </c>
      <c r="M137" s="58"/>
      <c r="N137" s="20"/>
      <c r="O137" s="63">
        <f t="shared" si="11"/>
        <v>62387</v>
      </c>
      <c r="P137" s="64">
        <f t="shared" si="10"/>
        <v>1.421537777263325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>
        <v>26916</v>
      </c>
      <c r="J138" s="58">
        <v>28021</v>
      </c>
      <c r="K138" s="58">
        <v>25501</v>
      </c>
      <c r="L138" s="58">
        <v>22446</v>
      </c>
      <c r="M138" s="58"/>
      <c r="N138" s="20"/>
      <c r="O138" s="63">
        <f t="shared" si="11"/>
        <v>220998</v>
      </c>
      <c r="P138" s="64">
        <f t="shared" si="10"/>
        <v>5.035616485800572</v>
      </c>
      <c r="Q138" s="7">
        <f>263471-O138</f>
        <v>42473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>
        <v>0</v>
      </c>
      <c r="J139" s="58">
        <v>0</v>
      </c>
      <c r="K139" s="58">
        <v>0</v>
      </c>
      <c r="L139" s="58">
        <v>171</v>
      </c>
      <c r="M139" s="44"/>
      <c r="N139" s="20"/>
      <c r="O139" s="63">
        <f t="shared" si="11"/>
        <v>591</v>
      </c>
      <c r="P139" s="64">
        <f t="shared" si="10"/>
        <v>0.013466408488348937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>
        <v>3762</v>
      </c>
      <c r="J140" s="58">
        <v>3222</v>
      </c>
      <c r="K140" s="58">
        <v>2815</v>
      </c>
      <c r="L140" s="58">
        <v>2472</v>
      </c>
      <c r="M140" s="58"/>
      <c r="N140" s="20"/>
      <c r="O140" s="63">
        <f t="shared" si="11"/>
        <v>25527</v>
      </c>
      <c r="P140" s="64">
        <f t="shared" si="10"/>
        <v>0.5816531463317822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>
        <v>18968</v>
      </c>
      <c r="J141" s="58">
        <v>23543</v>
      </c>
      <c r="K141" s="58">
        <v>25677</v>
      </c>
      <c r="L141" s="58">
        <v>20225</v>
      </c>
      <c r="M141" s="58"/>
      <c r="N141" s="20"/>
      <c r="O141" s="63">
        <f t="shared" si="11"/>
        <v>174083</v>
      </c>
      <c r="P141" s="64">
        <f t="shared" si="10"/>
        <v>3.9666206241577795</v>
      </c>
      <c r="Q141" s="7">
        <f>186310-O141</f>
        <v>12227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>
        <v>662</v>
      </c>
      <c r="J142" s="58">
        <v>509</v>
      </c>
      <c r="K142" s="58">
        <v>470</v>
      </c>
      <c r="L142" s="58">
        <v>556</v>
      </c>
      <c r="M142" s="58"/>
      <c r="N142" s="20"/>
      <c r="O142" s="63">
        <f t="shared" si="11"/>
        <v>5376</v>
      </c>
      <c r="P142" s="64">
        <f t="shared" si="10"/>
        <v>0.1224964670615294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44">
        <v>0</v>
      </c>
      <c r="M143" s="44"/>
      <c r="N143" s="44"/>
      <c r="O143" s="63">
        <f t="shared" si="11"/>
        <v>0</v>
      </c>
      <c r="P143" s="64">
        <f t="shared" si="10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>
        <v>415</v>
      </c>
      <c r="J144" s="58">
        <v>393</v>
      </c>
      <c r="K144" s="58">
        <v>531</v>
      </c>
      <c r="L144" s="58">
        <v>717</v>
      </c>
      <c r="M144" s="58"/>
      <c r="N144" s="20"/>
      <c r="O144" s="63">
        <f t="shared" si="11"/>
        <v>7058</v>
      </c>
      <c r="P144" s="64">
        <f t="shared" si="10"/>
        <v>0.16082218462058678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44">
        <v>0</v>
      </c>
      <c r="M145" s="44"/>
      <c r="N145" s="44"/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>
        <v>0</v>
      </c>
      <c r="J146" s="58">
        <v>223</v>
      </c>
      <c r="K146" s="58">
        <v>275</v>
      </c>
      <c r="L146" s="58">
        <v>419</v>
      </c>
      <c r="M146" s="58"/>
      <c r="N146" s="20"/>
      <c r="O146" s="63">
        <f t="shared" si="11"/>
        <v>3353</v>
      </c>
      <c r="P146" s="64">
        <f t="shared" si="10"/>
        <v>0.07640079130530285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>
        <v>200</v>
      </c>
      <c r="J147" s="58">
        <v>390</v>
      </c>
      <c r="K147" s="58">
        <v>170</v>
      </c>
      <c r="L147" s="44">
        <v>0</v>
      </c>
      <c r="M147" s="44"/>
      <c r="N147" s="44"/>
      <c r="O147" s="63">
        <f t="shared" si="11"/>
        <v>872</v>
      </c>
      <c r="P147" s="64">
        <f t="shared" si="10"/>
        <v>0.019869218615634978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>
        <v>0</v>
      </c>
      <c r="J148" s="58">
        <v>201</v>
      </c>
      <c r="K148" s="58">
        <v>171</v>
      </c>
      <c r="L148" s="44">
        <v>103</v>
      </c>
      <c r="M148" s="44"/>
      <c r="N148" s="44"/>
      <c r="O148" s="63">
        <f t="shared" si="11"/>
        <v>850</v>
      </c>
      <c r="P148" s="64">
        <f t="shared" si="10"/>
        <v>0.019367930990011162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44">
        <v>0</v>
      </c>
      <c r="M149" s="44"/>
      <c r="N149" s="44"/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44">
        <v>0</v>
      </c>
      <c r="M150" s="44"/>
      <c r="N150" s="44"/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44">
        <v>0</v>
      </c>
      <c r="M151" s="44"/>
      <c r="N151" s="44"/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>
        <v>2124</v>
      </c>
      <c r="J152" s="58">
        <v>740</v>
      </c>
      <c r="K152" s="58">
        <v>1053</v>
      </c>
      <c r="L152" s="58">
        <v>1133</v>
      </c>
      <c r="M152" s="58"/>
      <c r="N152" s="20"/>
      <c r="O152" s="63">
        <f t="shared" si="11"/>
        <v>13394</v>
      </c>
      <c r="P152" s="64">
        <f t="shared" si="10"/>
        <v>0.30519302080024646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>
        <v>2505</v>
      </c>
      <c r="J153" s="58">
        <v>3230</v>
      </c>
      <c r="K153" s="58">
        <v>2641</v>
      </c>
      <c r="L153" s="58">
        <v>2672</v>
      </c>
      <c r="M153" s="58"/>
      <c r="N153" s="20"/>
      <c r="O153" s="63">
        <f t="shared" si="11"/>
        <v>22570</v>
      </c>
      <c r="P153" s="64">
        <f t="shared" si="10"/>
        <v>0.5142755322877081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>
        <f>28783</f>
        <v>28783</v>
      </c>
      <c r="J154" s="58">
        <v>31979</v>
      </c>
      <c r="K154" s="58">
        <v>22912</v>
      </c>
      <c r="L154" s="58">
        <v>23036</v>
      </c>
      <c r="M154" s="58"/>
      <c r="N154" s="20"/>
      <c r="O154" s="63">
        <f t="shared" si="11"/>
        <v>186713</v>
      </c>
      <c r="P154" s="64">
        <f t="shared" si="10"/>
        <v>4.2544052928681815</v>
      </c>
      <c r="Q154" s="7">
        <f>198883-O154</f>
        <v>12170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>
        <v>2628</v>
      </c>
      <c r="J155" s="58">
        <v>2906</v>
      </c>
      <c r="K155" s="58">
        <v>3708</v>
      </c>
      <c r="L155" s="58">
        <v>3464</v>
      </c>
      <c r="M155" s="58"/>
      <c r="N155" s="20"/>
      <c r="O155" s="63">
        <f t="shared" si="11"/>
        <v>28050</v>
      </c>
      <c r="P155" s="64">
        <f t="shared" si="10"/>
        <v>0.6391417226703683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44">
        <v>0</v>
      </c>
      <c r="M156" s="44"/>
      <c r="N156" s="44"/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>
        <v>9309</v>
      </c>
      <c r="J157" s="58">
        <v>8656</v>
      </c>
      <c r="K157" s="58">
        <v>8099</v>
      </c>
      <c r="L157" s="58">
        <v>9727</v>
      </c>
      <c r="M157" s="58"/>
      <c r="N157" s="20"/>
      <c r="O157" s="63">
        <f t="shared" si="11"/>
        <v>117575</v>
      </c>
      <c r="P157" s="64">
        <f t="shared" si="10"/>
        <v>2.679040571941838</v>
      </c>
      <c r="Q157" s="7">
        <f>124077-O157</f>
        <v>6502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>
        <v>1540</v>
      </c>
      <c r="J158" s="58">
        <v>2247</v>
      </c>
      <c r="K158" s="58">
        <v>2095</v>
      </c>
      <c r="L158" s="58">
        <v>2177</v>
      </c>
      <c r="M158" s="58"/>
      <c r="N158" s="20"/>
      <c r="O158" s="63">
        <f t="shared" si="11"/>
        <v>18432</v>
      </c>
      <c r="P158" s="64">
        <f t="shared" si="10"/>
        <v>0.4199878870681008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44">
        <v>0</v>
      </c>
      <c r="M159" s="44"/>
      <c r="N159" s="44"/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>
        <v>333</v>
      </c>
      <c r="J160" s="58">
        <v>185</v>
      </c>
      <c r="K160" s="58">
        <v>263</v>
      </c>
      <c r="L160" s="58">
        <v>280</v>
      </c>
      <c r="M160" s="58"/>
      <c r="N160" s="20"/>
      <c r="O160" s="63">
        <f t="shared" si="11"/>
        <v>2029</v>
      </c>
      <c r="P160" s="64">
        <f t="shared" si="10"/>
        <v>0.046232390563214876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>
        <v>450</v>
      </c>
      <c r="J161" s="58">
        <v>451</v>
      </c>
      <c r="K161" s="58">
        <v>515</v>
      </c>
      <c r="L161" s="58">
        <v>583</v>
      </c>
      <c r="M161" s="58"/>
      <c r="N161" s="20"/>
      <c r="O161" s="63">
        <f t="shared" si="11"/>
        <v>5206</v>
      </c>
      <c r="P161" s="64">
        <f t="shared" si="10"/>
        <v>0.11862288086352717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>
        <v>1542</v>
      </c>
      <c r="J162" s="58">
        <v>1001</v>
      </c>
      <c r="K162" s="58">
        <v>1545</v>
      </c>
      <c r="L162" s="58">
        <v>2353</v>
      </c>
      <c r="M162" s="58"/>
      <c r="N162" s="20"/>
      <c r="O162" s="63">
        <f t="shared" si="11"/>
        <v>19199</v>
      </c>
      <c r="P162" s="64">
        <f t="shared" si="10"/>
        <v>0.4374645965614403</v>
      </c>
      <c r="Q162" s="7">
        <f>30584-O162</f>
        <v>11385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>
        <v>7406</v>
      </c>
      <c r="J163" s="58">
        <v>10963</v>
      </c>
      <c r="K163" s="58">
        <v>6998</v>
      </c>
      <c r="L163" s="58">
        <v>5832</v>
      </c>
      <c r="M163" s="58"/>
      <c r="N163" s="20"/>
      <c r="O163" s="63">
        <f t="shared" si="11"/>
        <v>54191</v>
      </c>
      <c r="P163" s="64">
        <f t="shared" si="10"/>
        <v>1.234785350917288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>
        <v>6264</v>
      </c>
      <c r="J164" s="58">
        <v>3297</v>
      </c>
      <c r="K164" s="58">
        <v>3526</v>
      </c>
      <c r="L164" s="58">
        <v>3878</v>
      </c>
      <c r="M164" s="58"/>
      <c r="N164" s="20"/>
      <c r="O164" s="63">
        <f t="shared" si="11"/>
        <v>30297</v>
      </c>
      <c r="P164" s="64">
        <f t="shared" si="10"/>
        <v>0.6903414178874919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44">
        <v>0</v>
      </c>
      <c r="M165" s="44"/>
      <c r="N165" s="44"/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>
        <v>300</v>
      </c>
      <c r="J166" s="58">
        <v>331</v>
      </c>
      <c r="K166" s="58">
        <v>319</v>
      </c>
      <c r="L166" s="58">
        <v>376</v>
      </c>
      <c r="M166" s="58"/>
      <c r="N166" s="20"/>
      <c r="O166" s="63">
        <f t="shared" si="11"/>
        <v>2896</v>
      </c>
      <c r="P166" s="64">
        <f t="shared" si="10"/>
        <v>0.06598768017302625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44">
        <v>0</v>
      </c>
      <c r="M167" s="44"/>
      <c r="N167" s="44"/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>
        <v>1204</v>
      </c>
      <c r="J168" s="58">
        <v>1233</v>
      </c>
      <c r="K168" s="58">
        <v>1150</v>
      </c>
      <c r="L168" s="58">
        <v>1488</v>
      </c>
      <c r="M168" s="58"/>
      <c r="N168" s="20"/>
      <c r="O168" s="63">
        <f t="shared" si="11"/>
        <v>15961</v>
      </c>
      <c r="P168" s="64">
        <f t="shared" si="10"/>
        <v>0.36368417239008016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>
        <v>384</v>
      </c>
      <c r="J169" s="58">
        <v>274</v>
      </c>
      <c r="K169" s="58">
        <v>138</v>
      </c>
      <c r="L169" s="58">
        <v>210</v>
      </c>
      <c r="M169" s="58"/>
      <c r="N169" s="20"/>
      <c r="O169" s="63">
        <f t="shared" si="11"/>
        <v>2537</v>
      </c>
      <c r="P169" s="64">
        <f t="shared" si="10"/>
        <v>0.05780757755489214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44">
        <v>0</v>
      </c>
      <c r="M170" s="44"/>
      <c r="N170" s="44"/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>
        <v>560</v>
      </c>
      <c r="J171" s="58">
        <v>1191</v>
      </c>
      <c r="K171" s="58">
        <v>527</v>
      </c>
      <c r="L171" s="58">
        <v>624</v>
      </c>
      <c r="M171" s="58"/>
      <c r="N171" s="20"/>
      <c r="O171" s="65">
        <f t="shared" si="11"/>
        <v>5533</v>
      </c>
      <c r="P171" s="66">
        <f t="shared" si="10"/>
        <v>0.1260738378443903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7819</v>
      </c>
      <c r="J172" s="53">
        <f>SUM(J173:J194)</f>
        <v>6899</v>
      </c>
      <c r="K172" s="53">
        <f>SUM(K173:K194)</f>
        <v>5902</v>
      </c>
      <c r="L172" s="53">
        <f>SUM(L173:L194)</f>
        <v>5164</v>
      </c>
      <c r="M172" s="53">
        <f>SUM(M173:M194)</f>
        <v>0</v>
      </c>
      <c r="N172" s="53">
        <f>SUM(N173:N194)</f>
        <v>0</v>
      </c>
      <c r="O172" s="41">
        <f t="shared" si="11"/>
        <v>54940</v>
      </c>
      <c r="P172" s="54">
        <f t="shared" si="10"/>
        <v>1.2518519159896626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>
        <v>2098</v>
      </c>
      <c r="J173" s="44">
        <v>1078</v>
      </c>
      <c r="K173" s="44">
        <v>716</v>
      </c>
      <c r="L173" s="44">
        <v>666</v>
      </c>
      <c r="M173" s="20"/>
      <c r="N173" s="20"/>
      <c r="O173" s="46">
        <f t="shared" si="11"/>
        <v>9331</v>
      </c>
      <c r="P173" s="47">
        <f t="shared" si="10"/>
        <v>0.2126143106679931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/>
      <c r="N174" s="44"/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>
        <v>0</v>
      </c>
      <c r="J175" s="44">
        <v>89</v>
      </c>
      <c r="K175" s="44">
        <v>0</v>
      </c>
      <c r="L175" s="44">
        <v>0</v>
      </c>
      <c r="M175" s="44"/>
      <c r="N175" s="44"/>
      <c r="O175" s="22">
        <f t="shared" si="11"/>
        <v>189</v>
      </c>
      <c r="P175" s="23">
        <f t="shared" si="10"/>
        <v>0.0043065164201318935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>
        <v>209</v>
      </c>
      <c r="J176" s="44">
        <v>37</v>
      </c>
      <c r="K176" s="44">
        <v>0</v>
      </c>
      <c r="L176" s="44">
        <v>117</v>
      </c>
      <c r="M176" s="44"/>
      <c r="N176" s="44"/>
      <c r="O176" s="63">
        <f>SUM(C176:N176)</f>
        <v>633</v>
      </c>
      <c r="P176" s="23">
        <f t="shared" si="10"/>
        <v>0.014423412137267135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/>
      <c r="N177" s="44"/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>
        <v>228</v>
      </c>
      <c r="J178" s="44">
        <v>198</v>
      </c>
      <c r="K178" s="44">
        <v>219</v>
      </c>
      <c r="L178" s="44">
        <v>277</v>
      </c>
      <c r="M178" s="44"/>
      <c r="N178" s="44"/>
      <c r="O178" s="22">
        <f t="shared" si="11"/>
        <v>1475</v>
      </c>
      <c r="P178" s="23">
        <f t="shared" si="10"/>
        <v>0.03360905671796054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>
        <v>216</v>
      </c>
      <c r="J179" s="44">
        <v>265</v>
      </c>
      <c r="K179" s="44">
        <v>447</v>
      </c>
      <c r="L179" s="44">
        <v>207</v>
      </c>
      <c r="M179" s="20"/>
      <c r="N179" s="20"/>
      <c r="O179" s="22">
        <f t="shared" si="11"/>
        <v>3715</v>
      </c>
      <c r="P179" s="23">
        <f t="shared" si="10"/>
        <v>0.08464925132693113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>
        <v>0</v>
      </c>
      <c r="J180" s="44">
        <v>228</v>
      </c>
      <c r="K180" s="44">
        <v>126</v>
      </c>
      <c r="L180" s="44">
        <v>0</v>
      </c>
      <c r="M180" s="44"/>
      <c r="N180" s="44"/>
      <c r="O180" s="63">
        <f>SUM(C180:N180)</f>
        <v>570</v>
      </c>
      <c r="P180" s="23">
        <f t="shared" si="10"/>
        <v>0.012987906663889838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>
        <v>283</v>
      </c>
      <c r="J181" s="44">
        <v>408</v>
      </c>
      <c r="K181" s="44">
        <v>175</v>
      </c>
      <c r="L181" s="44">
        <v>122</v>
      </c>
      <c r="M181" s="44"/>
      <c r="N181" s="44"/>
      <c r="O181" s="22">
        <f>SUM(C181:N181)</f>
        <v>1830</v>
      </c>
      <c r="P181" s="23">
        <f>O181/$O$196*100</f>
        <v>0.04169801613143579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>
        <v>462</v>
      </c>
      <c r="J182" s="44">
        <v>294</v>
      </c>
      <c r="K182" s="44">
        <v>248</v>
      </c>
      <c r="L182" s="44">
        <v>233</v>
      </c>
      <c r="M182" s="20"/>
      <c r="N182" s="20"/>
      <c r="O182" s="22">
        <f t="shared" si="11"/>
        <v>2381</v>
      </c>
      <c r="P182" s="23">
        <f t="shared" si="10"/>
        <v>0.05425299257319596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/>
      <c r="N183" s="44"/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>
        <v>0</v>
      </c>
      <c r="J184" s="44">
        <v>85</v>
      </c>
      <c r="K184" s="44">
        <v>109</v>
      </c>
      <c r="L184" s="44">
        <v>0</v>
      </c>
      <c r="M184" s="44"/>
      <c r="N184" s="44"/>
      <c r="O184" s="22">
        <f t="shared" si="11"/>
        <v>194</v>
      </c>
      <c r="P184" s="23">
        <f t="shared" si="10"/>
        <v>0.004420445425955488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>
        <v>765</v>
      </c>
      <c r="J185" s="44">
        <v>584</v>
      </c>
      <c r="K185" s="44">
        <v>638</v>
      </c>
      <c r="L185" s="44">
        <v>727</v>
      </c>
      <c r="M185" s="20"/>
      <c r="N185" s="20"/>
      <c r="O185" s="22">
        <f t="shared" si="11"/>
        <v>6059</v>
      </c>
      <c r="P185" s="23">
        <f t="shared" si="10"/>
        <v>0.1380591692570325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>
        <v>236</v>
      </c>
      <c r="J186" s="44">
        <v>189</v>
      </c>
      <c r="K186" s="44">
        <v>128</v>
      </c>
      <c r="L186" s="44">
        <v>141</v>
      </c>
      <c r="M186" s="44"/>
      <c r="N186" s="20"/>
      <c r="O186" s="22">
        <f t="shared" si="11"/>
        <v>1234</v>
      </c>
      <c r="P186" s="23">
        <f t="shared" si="10"/>
        <v>0.02811767863726326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98</v>
      </c>
      <c r="K187" s="44">
        <v>108</v>
      </c>
      <c r="L187" s="44">
        <v>0</v>
      </c>
      <c r="M187" s="44"/>
      <c r="N187" s="44"/>
      <c r="O187" s="22">
        <f t="shared" si="11"/>
        <v>206</v>
      </c>
      <c r="P187" s="23">
        <f>O187/$O$196*100</f>
        <v>0.004693875039932116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>
        <v>277</v>
      </c>
      <c r="J188" s="44">
        <v>158</v>
      </c>
      <c r="K188" s="44">
        <v>0</v>
      </c>
      <c r="L188" s="44">
        <v>0</v>
      </c>
      <c r="M188" s="44"/>
      <c r="N188" s="44"/>
      <c r="O188" s="22">
        <f t="shared" si="11"/>
        <v>597</v>
      </c>
      <c r="P188" s="23">
        <f t="shared" si="10"/>
        <v>0.01360312329533725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120</v>
      </c>
      <c r="K189" s="44">
        <v>0</v>
      </c>
      <c r="L189" s="44">
        <v>0</v>
      </c>
      <c r="M189" s="44"/>
      <c r="N189" s="44"/>
      <c r="O189" s="22">
        <f t="shared" si="11"/>
        <v>120</v>
      </c>
      <c r="P189" s="23">
        <f t="shared" si="10"/>
        <v>0.0027342961397662817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>
        <v>0</v>
      </c>
      <c r="J190" s="44">
        <v>67</v>
      </c>
      <c r="K190" s="44">
        <v>0</v>
      </c>
      <c r="L190" s="44">
        <v>0</v>
      </c>
      <c r="M190" s="44"/>
      <c r="N190" s="44"/>
      <c r="O190" s="22">
        <f t="shared" si="11"/>
        <v>332</v>
      </c>
      <c r="P190" s="23">
        <f t="shared" si="10"/>
        <v>0.007564885986686713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>
        <v>1894</v>
      </c>
      <c r="J191" s="44">
        <v>2149</v>
      </c>
      <c r="K191" s="44">
        <v>2437</v>
      </c>
      <c r="L191" s="44">
        <v>2209</v>
      </c>
      <c r="M191" s="20"/>
      <c r="N191" s="20"/>
      <c r="O191" s="22">
        <f t="shared" si="11"/>
        <v>20075</v>
      </c>
      <c r="P191" s="23">
        <f t="shared" si="10"/>
        <v>0.45742495838173414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>
        <v>520</v>
      </c>
      <c r="J192" s="44">
        <v>377</v>
      </c>
      <c r="K192" s="44">
        <v>215</v>
      </c>
      <c r="L192" s="44">
        <v>181</v>
      </c>
      <c r="M192" s="20"/>
      <c r="N192" s="20"/>
      <c r="O192" s="22">
        <f t="shared" si="11"/>
        <v>2717</v>
      </c>
      <c r="P192" s="23">
        <f t="shared" si="10"/>
        <v>0.06190902176454156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80</v>
      </c>
      <c r="K193" s="44">
        <v>0</v>
      </c>
      <c r="L193" s="44">
        <v>0</v>
      </c>
      <c r="M193" s="44"/>
      <c r="N193" s="44"/>
      <c r="O193" s="22">
        <f t="shared" si="11"/>
        <v>80</v>
      </c>
      <c r="P193" s="68">
        <f t="shared" si="10"/>
        <v>0.0018228640931775208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>
        <v>631</v>
      </c>
      <c r="J194" s="44">
        <v>395</v>
      </c>
      <c r="K194" s="44">
        <v>336</v>
      </c>
      <c r="L194" s="44">
        <v>284</v>
      </c>
      <c r="M194" s="20"/>
      <c r="N194" s="20"/>
      <c r="O194" s="41">
        <f t="shared" si="11"/>
        <v>3202</v>
      </c>
      <c r="P194" s="48">
        <f t="shared" si="10"/>
        <v>0.07296013532943027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2035</v>
      </c>
      <c r="D195" s="71">
        <v>1865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>
        <v>3534</v>
      </c>
      <c r="J195" s="71">
        <v>1089</v>
      </c>
      <c r="K195" s="71">
        <v>1425</v>
      </c>
      <c r="L195" s="71">
        <v>2362</v>
      </c>
      <c r="M195" s="71"/>
      <c r="N195" s="71"/>
      <c r="O195" s="41">
        <f>SUM(C195:N195)</f>
        <v>21883</v>
      </c>
      <c r="P195" s="72">
        <f>O195/$O$196*100</f>
        <v>0.4986216868875461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331912</v>
      </c>
      <c r="D196" s="65">
        <f>D5+D34+D44+D83+D118+D172+D195</f>
        <v>323623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541353</v>
      </c>
      <c r="J196" s="65">
        <f t="shared" si="13"/>
        <v>522141</v>
      </c>
      <c r="K196" s="65">
        <f>K5+K34+K44+K83+K118+K172+K195</f>
        <v>508350</v>
      </c>
      <c r="L196" s="65">
        <f>L5+L34+L44+L83+L118+L172+L195</f>
        <v>461441</v>
      </c>
      <c r="M196" s="65">
        <f t="shared" si="13"/>
        <v>0</v>
      </c>
      <c r="N196" s="65">
        <f>N5+N34+N44+N83+N118+N172+N195</f>
        <v>0</v>
      </c>
      <c r="O196" s="65">
        <f>O5+O34+O44+O83+O118+O172+O195</f>
        <v>4388698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221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222</v>
      </c>
      <c r="B199" s="134"/>
      <c r="C199" s="74"/>
      <c r="D199" s="74"/>
      <c r="E199" s="75"/>
      <c r="F199" s="128"/>
      <c r="G199" s="127"/>
      <c r="H199" s="132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223</v>
      </c>
      <c r="B200" s="134"/>
      <c r="C200" s="74"/>
      <c r="D200" s="74"/>
      <c r="E200" s="74"/>
      <c r="F200" s="120"/>
      <c r="G200" s="138"/>
      <c r="H200" s="129"/>
      <c r="I200" s="128"/>
      <c r="J200" s="7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76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>
        <v>246504</v>
      </c>
      <c r="J204" s="105">
        <v>276679</v>
      </c>
      <c r="K204" s="105">
        <v>291162</v>
      </c>
      <c r="L204" s="105">
        <v>305244</v>
      </c>
      <c r="M204" s="105"/>
      <c r="N204" s="105"/>
      <c r="O204" s="106">
        <f>SUM(C204:N204)</f>
        <v>1491093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331912</v>
      </c>
      <c r="D206" s="111">
        <f t="shared" si="14"/>
        <v>323623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541353</v>
      </c>
      <c r="J206" s="111">
        <f t="shared" si="14"/>
        <v>522141</v>
      </c>
      <c r="K206" s="111">
        <f t="shared" si="14"/>
        <v>508350</v>
      </c>
      <c r="L206" s="111">
        <f t="shared" si="14"/>
        <v>461441</v>
      </c>
      <c r="M206" s="111">
        <f t="shared" si="14"/>
        <v>0</v>
      </c>
      <c r="N206" s="111">
        <f t="shared" si="14"/>
        <v>0</v>
      </c>
      <c r="O206" s="112">
        <f>SUM(C206:N206)</f>
        <v>4388698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11063633.333333332</v>
      </c>
      <c r="D207" s="109">
        <f aca="true" t="shared" si="15" ref="D207:O207">(D206-D204)/D204*100</f>
        <v>24604.045801526718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>
        <f t="shared" si="15"/>
        <v>119.61225781326064</v>
      </c>
      <c r="J207" s="109">
        <f t="shared" si="15"/>
        <v>88.71724995391772</v>
      </c>
      <c r="K207" s="109">
        <f t="shared" si="15"/>
        <v>74.59352525398232</v>
      </c>
      <c r="L207" s="109">
        <f>(L206-L204)/L204*100</f>
        <v>51.17119419218723</v>
      </c>
      <c r="M207" s="109" t="e">
        <f t="shared" si="15"/>
        <v>#DIV/0!</v>
      </c>
      <c r="N207" s="109" t="e">
        <f t="shared" si="15"/>
        <v>#DIV/0!</v>
      </c>
      <c r="O207" s="109">
        <f t="shared" si="15"/>
        <v>194.32758385962512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224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220</v>
      </c>
      <c r="C211" s="118">
        <f>C204+D204+E204+F204+G204+H204+I204+J204+K204+L204+M204+N204</f>
        <v>1491093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4388698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1.9432758385962512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2023-11-02T07:17:45Z</cp:lastPrinted>
  <dcterms:created xsi:type="dcterms:W3CDTF">2007-02-13T23:51:58Z</dcterms:created>
  <dcterms:modified xsi:type="dcterms:W3CDTF">2023-12-04T03:46:43Z</dcterms:modified>
  <cp:category/>
  <cp:version/>
  <cp:contentType/>
  <cp:contentStatus/>
</cp:coreProperties>
</file>